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4070" windowHeight="8160" tabRatio="853" activeTab="1"/>
  </bookViews>
  <sheets>
    <sheet name="Kalend" sheetId="2" r:id="rId1"/>
    <sheet name="Kal E" sheetId="3" r:id="rId2"/>
    <sheet name="Reit" sheetId="4" r:id="rId3"/>
    <sheet name="1" sheetId="40" r:id="rId4"/>
    <sheet name="2" sheetId="39" r:id="rId5"/>
    <sheet name="3" sheetId="43" r:id="rId6"/>
    <sheet name="4" sheetId="44" r:id="rId7"/>
    <sheet name="5" sheetId="45" r:id="rId8"/>
    <sheet name="KJ" sheetId="10" r:id="rId9"/>
    <sheet name="6" sheetId="32" r:id="rId10"/>
    <sheet name="7" sheetId="46" r:id="rId11"/>
    <sheet name="8" sheetId="28" r:id="rId12"/>
    <sheet name="9" sheetId="48" r:id="rId13"/>
    <sheet name="10" sheetId="49" r:id="rId14"/>
    <sheet name="11" sheetId="50" r:id="rId15"/>
    <sheet name="12" sheetId="51" r:id="rId16"/>
    <sheet name="13" sheetId="52" r:id="rId17"/>
    <sheet name="V" sheetId="5" r:id="rId18"/>
    <sheet name="V1" sheetId="20" r:id="rId19"/>
    <sheet name="V2" sheetId="11" r:id="rId20"/>
    <sheet name="V3" sheetId="12" r:id="rId21"/>
    <sheet name="V4" sheetId="13" r:id="rId22"/>
    <sheet name="V5" sheetId="14" r:id="rId23"/>
    <sheet name="V6" sheetId="15" r:id="rId24"/>
    <sheet name="V7" sheetId="16" r:id="rId25"/>
    <sheet name="V8" sheetId="17" r:id="rId26"/>
    <sheet name="V9" sheetId="18" r:id="rId27"/>
    <sheet name="V10" sheetId="19" r:id="rId28"/>
    <sheet name="v-d" sheetId="55" r:id="rId29"/>
    <sheet name="v-t" sheetId="56" r:id="rId30"/>
    <sheet name="v-ü" sheetId="54" r:id="rId31"/>
    <sheet name="templ" sheetId="1" r:id="rId32"/>
    <sheet name="swiss-v" sheetId="9" r:id="rId33"/>
    <sheet name="swiss-k" sheetId="23" r:id="rId34"/>
    <sheet name="ETAPP" sheetId="6" r:id="rId35"/>
    <sheet name="PIV" sheetId="7" r:id="rId36"/>
    <sheet name="PVO" sheetId="8" r:id="rId37"/>
  </sheets>
  <definedNames>
    <definedName name="_xlnm._FilterDatabase" localSheetId="8" hidden="1">KJ!$S$6:$U$6</definedName>
    <definedName name="_xlnm._FilterDatabase" localSheetId="2" hidden="1">Reit!$AC$7:$AE$7</definedName>
    <definedName name="_xlnm._FilterDatabase" localSheetId="17" hidden="1">V!$AN$6:$AP$6</definedName>
    <definedName name="_xlnm.Print_Area" localSheetId="17">V!$A$1:$AP$60</definedName>
    <definedName name="_xlnm.Print_Titles" localSheetId="1">'Kal E'!$1:$3</definedName>
    <definedName name="_xlnm.Print_Titles" localSheetId="0">Kalend!$1:$3</definedName>
    <definedName name="_xlnm.Print_Titles" localSheetId="2">Reit!$1:$7</definedName>
    <definedName name="_xlnm.Print_Titles" localSheetId="17">V!$1:$6</definedName>
  </definedNames>
  <calcPr calcId="145621"/>
</workbook>
</file>

<file path=xl/calcChain.xml><?xml version="1.0" encoding="utf-8"?>
<calcChain xmlns="http://schemas.openxmlformats.org/spreadsheetml/2006/main">
  <c r="K73" i="3" l="1"/>
  <c r="M16" i="3" l="1"/>
  <c r="A4" i="56"/>
  <c r="A3" i="56"/>
  <c r="A2" i="56"/>
  <c r="A1" i="56"/>
  <c r="Q60" i="56"/>
  <c r="T60" i="56" s="1"/>
  <c r="P60" i="56"/>
  <c r="Q59" i="56"/>
  <c r="T59" i="56" s="1"/>
  <c r="P59" i="56"/>
  <c r="Q58" i="56"/>
  <c r="T58" i="56" s="1"/>
  <c r="P58" i="56"/>
  <c r="Q57" i="56"/>
  <c r="T57" i="56" s="1"/>
  <c r="P57" i="56"/>
  <c r="Q56" i="56"/>
  <c r="T56" i="56" s="1"/>
  <c r="P56" i="56"/>
  <c r="R55" i="56"/>
  <c r="Q53" i="56"/>
  <c r="T53" i="56" s="1"/>
  <c r="P53" i="56"/>
  <c r="Q52" i="56"/>
  <c r="T52" i="56" s="1"/>
  <c r="P52" i="56"/>
  <c r="Q51" i="56"/>
  <c r="T51" i="56" s="1"/>
  <c r="P51" i="56"/>
  <c r="R50" i="56"/>
  <c r="S50" i="56" s="1"/>
  <c r="Q50" i="56"/>
  <c r="T50" i="56" s="1"/>
  <c r="P50" i="56"/>
  <c r="Q49" i="56"/>
  <c r="T49" i="56" s="1"/>
  <c r="P49" i="56"/>
  <c r="R48" i="56"/>
  <c r="Q46" i="56"/>
  <c r="T46" i="56" s="1"/>
  <c r="P46" i="56"/>
  <c r="Q45" i="56"/>
  <c r="T45" i="56" s="1"/>
  <c r="P45" i="56"/>
  <c r="Q44" i="56"/>
  <c r="T44" i="56" s="1"/>
  <c r="P44" i="56"/>
  <c r="Q43" i="56"/>
  <c r="T43" i="56" s="1"/>
  <c r="P43" i="56"/>
  <c r="Q42" i="56"/>
  <c r="T42" i="56" s="1"/>
  <c r="P42" i="56"/>
  <c r="R41" i="56"/>
  <c r="Q39" i="56"/>
  <c r="T39" i="56" s="1"/>
  <c r="P39" i="56"/>
  <c r="Q38" i="56"/>
  <c r="T38" i="56" s="1"/>
  <c r="P38" i="56"/>
  <c r="Q37" i="56"/>
  <c r="T37" i="56" s="1"/>
  <c r="P37" i="56"/>
  <c r="R36" i="56"/>
  <c r="S36" i="56" s="1"/>
  <c r="Q36" i="56"/>
  <c r="T36" i="56" s="1"/>
  <c r="P36" i="56"/>
  <c r="Q35" i="56"/>
  <c r="T35" i="56" s="1"/>
  <c r="P35" i="56"/>
  <c r="R34" i="56"/>
  <c r="P32" i="56"/>
  <c r="O32" i="56"/>
  <c r="N32" i="56"/>
  <c r="H32" i="56"/>
  <c r="Q32" i="56" s="1"/>
  <c r="P31" i="56"/>
  <c r="O31" i="56"/>
  <c r="N31" i="56"/>
  <c r="H31" i="56"/>
  <c r="Q31" i="56" s="1"/>
  <c r="P30" i="56"/>
  <c r="O30" i="56"/>
  <c r="N30" i="56"/>
  <c r="H30" i="56"/>
  <c r="Q30" i="56" s="1"/>
  <c r="P29" i="56"/>
  <c r="O29" i="56"/>
  <c r="N29" i="56"/>
  <c r="H29" i="56"/>
  <c r="Q29" i="56" s="1"/>
  <c r="P28" i="56"/>
  <c r="O28" i="56"/>
  <c r="N28" i="56"/>
  <c r="H28" i="56"/>
  <c r="Q28" i="56" s="1"/>
  <c r="R27" i="56"/>
  <c r="P25" i="56"/>
  <c r="O25" i="56"/>
  <c r="N25" i="56"/>
  <c r="H25" i="56"/>
  <c r="Q25" i="56" s="1"/>
  <c r="P24" i="56"/>
  <c r="O24" i="56"/>
  <c r="N24" i="56"/>
  <c r="H24" i="56"/>
  <c r="Q24" i="56" s="1"/>
  <c r="P23" i="56"/>
  <c r="O23" i="56"/>
  <c r="N23" i="56"/>
  <c r="H23" i="56"/>
  <c r="Q23" i="56" s="1"/>
  <c r="P22" i="56"/>
  <c r="O22" i="56"/>
  <c r="N22" i="56"/>
  <c r="H22" i="56"/>
  <c r="Q22" i="56" s="1"/>
  <c r="P21" i="56"/>
  <c r="O21" i="56"/>
  <c r="N21" i="56"/>
  <c r="H21" i="56"/>
  <c r="Q21" i="56" s="1"/>
  <c r="R20" i="56"/>
  <c r="I24" i="56" s="1"/>
  <c r="P18" i="56"/>
  <c r="O18" i="56"/>
  <c r="N18" i="56"/>
  <c r="H18" i="56"/>
  <c r="Q18" i="56" s="1"/>
  <c r="P17" i="56"/>
  <c r="O17" i="56"/>
  <c r="N17" i="56"/>
  <c r="H17" i="56"/>
  <c r="Q17" i="56" s="1"/>
  <c r="P16" i="56"/>
  <c r="O16" i="56"/>
  <c r="N16" i="56"/>
  <c r="H16" i="56"/>
  <c r="Q16" i="56" s="1"/>
  <c r="P15" i="56"/>
  <c r="O15" i="56"/>
  <c r="N15" i="56"/>
  <c r="H15" i="56"/>
  <c r="Q15" i="56" s="1"/>
  <c r="P14" i="56"/>
  <c r="O14" i="56"/>
  <c r="N14" i="56"/>
  <c r="H14" i="56"/>
  <c r="Q14" i="56" s="1"/>
  <c r="J18" i="56" s="1"/>
  <c r="T18" i="56" s="1"/>
  <c r="R13" i="56"/>
  <c r="AP11" i="56"/>
  <c r="AO11" i="56" s="1"/>
  <c r="AN11" i="56"/>
  <c r="AM11" i="56" s="1"/>
  <c r="AL11" i="56"/>
  <c r="AJ11" i="56"/>
  <c r="AH11" i="56"/>
  <c r="AG11" i="56" s="1"/>
  <c r="AF11" i="56"/>
  <c r="P11" i="56"/>
  <c r="O11" i="56"/>
  <c r="N11" i="56"/>
  <c r="H11" i="56"/>
  <c r="Q11" i="56" s="1"/>
  <c r="AP10" i="56"/>
  <c r="AO10" i="56" s="1"/>
  <c r="AN10" i="56"/>
  <c r="AM10" i="56" s="1"/>
  <c r="AL10" i="56"/>
  <c r="AJ10" i="56"/>
  <c r="AH10" i="56"/>
  <c r="AG10" i="56" s="1"/>
  <c r="AF10" i="56"/>
  <c r="P10" i="56"/>
  <c r="O10" i="56"/>
  <c r="N10" i="56"/>
  <c r="H10" i="56"/>
  <c r="Q10" i="56" s="1"/>
  <c r="AP9" i="56"/>
  <c r="AO9" i="56" s="1"/>
  <c r="AN9" i="56"/>
  <c r="AM9" i="56" s="1"/>
  <c r="AL9" i="56"/>
  <c r="AJ9" i="56"/>
  <c r="AH9" i="56"/>
  <c r="AG9" i="56" s="1"/>
  <c r="AF9" i="56"/>
  <c r="P9" i="56"/>
  <c r="O9" i="56"/>
  <c r="N9" i="56"/>
  <c r="H9" i="56"/>
  <c r="Q9" i="56" s="1"/>
  <c r="AP8" i="56"/>
  <c r="AO8" i="56" s="1"/>
  <c r="AN8" i="56"/>
  <c r="AM8" i="56" s="1"/>
  <c r="AL8" i="56"/>
  <c r="AJ8" i="56"/>
  <c r="AH8" i="56"/>
  <c r="AG8" i="56" s="1"/>
  <c r="AF8" i="56"/>
  <c r="P8" i="56"/>
  <c r="O8" i="56"/>
  <c r="N8" i="56"/>
  <c r="H8" i="56"/>
  <c r="Q8" i="56" s="1"/>
  <c r="AP7" i="56"/>
  <c r="AO7" i="56" s="1"/>
  <c r="AN7" i="56"/>
  <c r="AM7" i="56" s="1"/>
  <c r="AL7" i="56"/>
  <c r="AJ7" i="56"/>
  <c r="AH7" i="56"/>
  <c r="AG7" i="56" s="1"/>
  <c r="AF7" i="56"/>
  <c r="P7" i="56"/>
  <c r="O7" i="56"/>
  <c r="N7" i="56"/>
  <c r="H7" i="56"/>
  <c r="Q7" i="56" s="1"/>
  <c r="AP6" i="56"/>
  <c r="AO6" i="56"/>
  <c r="AN6" i="56"/>
  <c r="AM6" i="56"/>
  <c r="AL6" i="56"/>
  <c r="AK6" i="56"/>
  <c r="AJ6" i="56"/>
  <c r="AI6" i="56"/>
  <c r="AH6" i="56"/>
  <c r="AG6" i="56"/>
  <c r="AF6" i="56"/>
  <c r="AE6" i="56"/>
  <c r="AD6" i="56" s="1"/>
  <c r="R6" i="56"/>
  <c r="I15" i="56" s="1"/>
  <c r="A4" i="54"/>
  <c r="A3" i="54"/>
  <c r="A2" i="54"/>
  <c r="A1" i="54"/>
  <c r="AE7" i="54"/>
  <c r="AE29" i="54"/>
  <c r="AE30" i="54"/>
  <c r="AE28" i="54"/>
  <c r="AE27" i="54"/>
  <c r="AF27" i="54" s="1"/>
  <c r="AD27" i="54" s="1"/>
  <c r="AE26" i="54"/>
  <c r="AF26" i="54" s="1"/>
  <c r="AD26" i="54" s="1"/>
  <c r="AF25" i="54"/>
  <c r="AE25" i="54"/>
  <c r="AD25" i="54"/>
  <c r="AE24" i="54"/>
  <c r="AF24" i="54" s="1"/>
  <c r="AD24" i="54" s="1"/>
  <c r="AE23" i="54"/>
  <c r="AE22" i="54"/>
  <c r="AE21" i="54"/>
  <c r="AE20" i="54"/>
  <c r="AF20" i="54" s="1"/>
  <c r="AD20" i="54" s="1"/>
  <c r="AE19" i="54"/>
  <c r="AF19" i="54" s="1"/>
  <c r="AD19" i="54" s="1"/>
  <c r="AE18" i="54"/>
  <c r="AF18" i="54" s="1"/>
  <c r="AD18" i="54" s="1"/>
  <c r="AE17" i="54"/>
  <c r="AF17" i="54" s="1"/>
  <c r="AD17" i="54" s="1"/>
  <c r="AE16" i="54"/>
  <c r="AE15" i="54"/>
  <c r="AE14" i="54"/>
  <c r="AE13" i="54"/>
  <c r="AF13" i="54" s="1"/>
  <c r="AD13" i="54" s="1"/>
  <c r="AE12" i="54"/>
  <c r="AF12" i="54" s="1"/>
  <c r="AD12" i="54" s="1"/>
  <c r="AE11" i="54"/>
  <c r="AF11" i="54" s="1"/>
  <c r="AD11" i="54" s="1"/>
  <c r="AE10" i="54"/>
  <c r="AE9" i="54"/>
  <c r="AE8" i="54"/>
  <c r="AF17" i="55"/>
  <c r="AE17" i="55" s="1"/>
  <c r="AH17" i="55"/>
  <c r="AG17" i="55" s="1"/>
  <c r="AJ17" i="55"/>
  <c r="AI17" i="55" s="1"/>
  <c r="AL17" i="55"/>
  <c r="AK17" i="55" s="1"/>
  <c r="AN17" i="55"/>
  <c r="AM17" i="55" s="1"/>
  <c r="AP17" i="55"/>
  <c r="AO17" i="55" s="1"/>
  <c r="AE18" i="55"/>
  <c r="AF18" i="55"/>
  <c r="AG18" i="55"/>
  <c r="AH18" i="55"/>
  <c r="AI18" i="55"/>
  <c r="AJ18" i="55"/>
  <c r="AK18" i="55"/>
  <c r="AL18" i="55"/>
  <c r="AM18" i="55"/>
  <c r="AN18" i="55"/>
  <c r="AO18" i="55"/>
  <c r="AP18" i="55"/>
  <c r="AF19" i="55"/>
  <c r="AE19" i="55" s="1"/>
  <c r="AH19" i="55"/>
  <c r="AG19" i="55" s="1"/>
  <c r="AJ19" i="55"/>
  <c r="AI19" i="55" s="1"/>
  <c r="AL19" i="55"/>
  <c r="AK19" i="55" s="1"/>
  <c r="AN19" i="55"/>
  <c r="AM19" i="55" s="1"/>
  <c r="AP19" i="55"/>
  <c r="AO19" i="55" s="1"/>
  <c r="AE20" i="55"/>
  <c r="AF20" i="55"/>
  <c r="AG20" i="55"/>
  <c r="AH20" i="55"/>
  <c r="AI20" i="55"/>
  <c r="AJ20" i="55"/>
  <c r="AK20" i="55"/>
  <c r="AL20" i="55"/>
  <c r="AM20" i="55"/>
  <c r="AN20" i="55"/>
  <c r="AO20" i="55"/>
  <c r="AP20" i="55"/>
  <c r="AF21" i="55"/>
  <c r="AH21" i="55"/>
  <c r="AG21" i="55" s="1"/>
  <c r="AJ21" i="55"/>
  <c r="AI21" i="55" s="1"/>
  <c r="AL21" i="55"/>
  <c r="AK21" i="55" s="1"/>
  <c r="AN21" i="55"/>
  <c r="AM21" i="55" s="1"/>
  <c r="AP21" i="55"/>
  <c r="AO21" i="55" s="1"/>
  <c r="AF22" i="55"/>
  <c r="AH22" i="55"/>
  <c r="AI22" i="55"/>
  <c r="AJ22" i="55"/>
  <c r="AK22" i="55"/>
  <c r="AL22" i="55"/>
  <c r="AM22" i="55"/>
  <c r="AN22" i="55"/>
  <c r="AO22" i="55"/>
  <c r="AP22" i="55"/>
  <c r="AF23" i="55"/>
  <c r="AH23" i="55"/>
  <c r="AJ23" i="55"/>
  <c r="AI23" i="55" s="1"/>
  <c r="AL23" i="55"/>
  <c r="AK23" i="55" s="1"/>
  <c r="AN23" i="55"/>
  <c r="AM23" i="55" s="1"/>
  <c r="AP23" i="55"/>
  <c r="AO23" i="55" s="1"/>
  <c r="AP16" i="55"/>
  <c r="AO16" i="55" s="1"/>
  <c r="AN16" i="55"/>
  <c r="AM16" i="55" s="1"/>
  <c r="AL16" i="55"/>
  <c r="AK16" i="55" s="1"/>
  <c r="AJ16" i="55"/>
  <c r="AI16" i="55" s="1"/>
  <c r="AH16" i="55"/>
  <c r="AF16" i="55"/>
  <c r="AP15" i="55"/>
  <c r="AO15" i="55" s="1"/>
  <c r="AN15" i="55"/>
  <c r="AM15" i="55" s="1"/>
  <c r="AL15" i="55"/>
  <c r="AK15" i="55" s="1"/>
  <c r="AJ15" i="55"/>
  <c r="AI15" i="55" s="1"/>
  <c r="AH15" i="55"/>
  <c r="AF15" i="55"/>
  <c r="AP14" i="55"/>
  <c r="AO14" i="55" s="1"/>
  <c r="AN14" i="55"/>
  <c r="AM14" i="55" s="1"/>
  <c r="AL14" i="55"/>
  <c r="AK14" i="55" s="1"/>
  <c r="AJ14" i="55"/>
  <c r="AI14" i="55" s="1"/>
  <c r="AH14" i="55"/>
  <c r="AF14" i="55"/>
  <c r="AP13" i="55"/>
  <c r="AO13" i="55" s="1"/>
  <c r="AN13" i="55"/>
  <c r="AM13" i="55" s="1"/>
  <c r="AL13" i="55"/>
  <c r="AK13" i="55" s="1"/>
  <c r="AJ13" i="55"/>
  <c r="AI13" i="55" s="1"/>
  <c r="AH13" i="55"/>
  <c r="AG13" i="55" s="1"/>
  <c r="AF13" i="55"/>
  <c r="AE13" i="55" s="1"/>
  <c r="AP12" i="55"/>
  <c r="AO12" i="55" s="1"/>
  <c r="AN12" i="55"/>
  <c r="AM12" i="55" s="1"/>
  <c r="AL12" i="55"/>
  <c r="AK12" i="55" s="1"/>
  <c r="AJ12" i="55"/>
  <c r="AI12" i="55" s="1"/>
  <c r="AH12" i="55"/>
  <c r="AG12" i="55" s="1"/>
  <c r="AF12" i="55"/>
  <c r="AE12" i="55" s="1"/>
  <c r="AP11" i="55"/>
  <c r="AO11" i="55" s="1"/>
  <c r="AN11" i="55"/>
  <c r="AM11" i="55" s="1"/>
  <c r="AL11" i="55"/>
  <c r="AK11" i="55" s="1"/>
  <c r="AJ11" i="55"/>
  <c r="AI11" i="55" s="1"/>
  <c r="AH11" i="55"/>
  <c r="AG11" i="55" s="1"/>
  <c r="AF11" i="55"/>
  <c r="AE11" i="55" s="1"/>
  <c r="AP10" i="55"/>
  <c r="AO10" i="55" s="1"/>
  <c r="AN10" i="55"/>
  <c r="AM10" i="55" s="1"/>
  <c r="AL10" i="55"/>
  <c r="AK10" i="55" s="1"/>
  <c r="AJ10" i="55"/>
  <c r="AI10" i="55" s="1"/>
  <c r="AH10" i="55"/>
  <c r="AG10" i="55" s="1"/>
  <c r="AF10" i="55"/>
  <c r="AE10" i="55" s="1"/>
  <c r="AP9" i="55"/>
  <c r="AO9" i="55" s="1"/>
  <c r="AN9" i="55"/>
  <c r="AM9" i="55" s="1"/>
  <c r="AL9" i="55"/>
  <c r="AK9" i="55" s="1"/>
  <c r="AJ9" i="55"/>
  <c r="AI9" i="55" s="1"/>
  <c r="AH9" i="55"/>
  <c r="AF9" i="55"/>
  <c r="AP8" i="55"/>
  <c r="AO8" i="55" s="1"/>
  <c r="AN8" i="55"/>
  <c r="AM8" i="55" s="1"/>
  <c r="AL8" i="55"/>
  <c r="AK8" i="55" s="1"/>
  <c r="AJ8" i="55"/>
  <c r="AI8" i="55" s="1"/>
  <c r="AH8" i="55"/>
  <c r="AF8" i="55"/>
  <c r="AP7" i="55"/>
  <c r="AO7" i="55" s="1"/>
  <c r="AN7" i="55"/>
  <c r="AM7" i="55" s="1"/>
  <c r="AL7" i="55"/>
  <c r="AK7" i="55" s="1"/>
  <c r="AJ7" i="55"/>
  <c r="AI7" i="55" s="1"/>
  <c r="AH7" i="55"/>
  <c r="AF7" i="55"/>
  <c r="AP6" i="55"/>
  <c r="AO6" i="55" s="1"/>
  <c r="AN6" i="55"/>
  <c r="AM6" i="55" s="1"/>
  <c r="AL6" i="55"/>
  <c r="AK6" i="55" s="1"/>
  <c r="AJ6" i="55"/>
  <c r="AI6" i="55" s="1"/>
  <c r="AH6" i="55"/>
  <c r="AG6" i="55" s="1"/>
  <c r="AF6" i="55"/>
  <c r="AE6" i="55" s="1"/>
  <c r="A4" i="55"/>
  <c r="A3" i="55"/>
  <c r="A2" i="55"/>
  <c r="A1" i="55"/>
  <c r="Q60" i="55"/>
  <c r="T60" i="55" s="1"/>
  <c r="P60" i="55"/>
  <c r="Q59" i="55"/>
  <c r="P59" i="55"/>
  <c r="Q58" i="55"/>
  <c r="P58" i="55"/>
  <c r="Q57" i="55"/>
  <c r="P57" i="55"/>
  <c r="Q56" i="55"/>
  <c r="P56" i="55"/>
  <c r="R55" i="55"/>
  <c r="Q53" i="55"/>
  <c r="T53" i="55" s="1"/>
  <c r="P53" i="55"/>
  <c r="Q52" i="55"/>
  <c r="T52" i="55" s="1"/>
  <c r="P52" i="55"/>
  <c r="R51" i="55"/>
  <c r="S51" i="55" s="1"/>
  <c r="Q51" i="55"/>
  <c r="T51" i="55" s="1"/>
  <c r="P51" i="55"/>
  <c r="Q50" i="55"/>
  <c r="T50" i="55" s="1"/>
  <c r="P50" i="55"/>
  <c r="Q49" i="55"/>
  <c r="T49" i="55" s="1"/>
  <c r="P49" i="55"/>
  <c r="R48" i="55"/>
  <c r="Q46" i="55"/>
  <c r="P46" i="55"/>
  <c r="Q45" i="55"/>
  <c r="P45" i="55"/>
  <c r="Q44" i="55"/>
  <c r="P44" i="55"/>
  <c r="Q43" i="55"/>
  <c r="P43" i="55"/>
  <c r="Q42" i="55"/>
  <c r="P42" i="55"/>
  <c r="R41" i="55"/>
  <c r="Q39" i="55"/>
  <c r="T39" i="55" s="1"/>
  <c r="P39" i="55"/>
  <c r="R38" i="55"/>
  <c r="S38" i="55" s="1"/>
  <c r="Q38" i="55"/>
  <c r="T38" i="55" s="1"/>
  <c r="P38" i="55"/>
  <c r="Q37" i="55"/>
  <c r="T37" i="55" s="1"/>
  <c r="P37" i="55"/>
  <c r="Q36" i="55"/>
  <c r="T36" i="55" s="1"/>
  <c r="P36" i="55"/>
  <c r="Q35" i="55"/>
  <c r="T35" i="55" s="1"/>
  <c r="P35" i="55"/>
  <c r="R34" i="55"/>
  <c r="P32" i="55"/>
  <c r="O32" i="55"/>
  <c r="N32" i="55"/>
  <c r="H32" i="55"/>
  <c r="Q32" i="55" s="1"/>
  <c r="P31" i="55"/>
  <c r="O31" i="55"/>
  <c r="N31" i="55"/>
  <c r="H31" i="55"/>
  <c r="Q31" i="55" s="1"/>
  <c r="P30" i="55"/>
  <c r="O30" i="55"/>
  <c r="N30" i="55"/>
  <c r="H30" i="55"/>
  <c r="Q30" i="55" s="1"/>
  <c r="P29" i="55"/>
  <c r="O29" i="55"/>
  <c r="N29" i="55"/>
  <c r="H29" i="55"/>
  <c r="Q29" i="55" s="1"/>
  <c r="P28" i="55"/>
  <c r="O28" i="55"/>
  <c r="N28" i="55"/>
  <c r="H28" i="55"/>
  <c r="Q28" i="55" s="1"/>
  <c r="R27" i="55"/>
  <c r="I32" i="55" s="1"/>
  <c r="P25" i="55"/>
  <c r="O25" i="55"/>
  <c r="N25" i="55"/>
  <c r="H25" i="55"/>
  <c r="Q25" i="55" s="1"/>
  <c r="P24" i="55"/>
  <c r="O24" i="55"/>
  <c r="N24" i="55"/>
  <c r="H24" i="55"/>
  <c r="Q24" i="55" s="1"/>
  <c r="P23" i="55"/>
  <c r="O23" i="55"/>
  <c r="N23" i="55"/>
  <c r="H23" i="55"/>
  <c r="Q23" i="55" s="1"/>
  <c r="P22" i="55"/>
  <c r="O22" i="55"/>
  <c r="N22" i="55"/>
  <c r="H22" i="55"/>
  <c r="Q22" i="55" s="1"/>
  <c r="P21" i="55"/>
  <c r="O21" i="55"/>
  <c r="N21" i="55"/>
  <c r="H21" i="55"/>
  <c r="Q21" i="55" s="1"/>
  <c r="R20" i="55"/>
  <c r="I25" i="55" s="1"/>
  <c r="P18" i="55"/>
  <c r="O18" i="55"/>
  <c r="N18" i="55"/>
  <c r="H18" i="55"/>
  <c r="Q18" i="55" s="1"/>
  <c r="P17" i="55"/>
  <c r="O17" i="55"/>
  <c r="N17" i="55"/>
  <c r="H17" i="55"/>
  <c r="Q17" i="55" s="1"/>
  <c r="P16" i="55"/>
  <c r="O16" i="55"/>
  <c r="N16" i="55"/>
  <c r="H16" i="55"/>
  <c r="Q16" i="55" s="1"/>
  <c r="P15" i="55"/>
  <c r="O15" i="55"/>
  <c r="N15" i="55"/>
  <c r="H15" i="55"/>
  <c r="Q15" i="55" s="1"/>
  <c r="P14" i="55"/>
  <c r="O14" i="55"/>
  <c r="N14" i="55"/>
  <c r="H14" i="55"/>
  <c r="Q14" i="55" s="1"/>
  <c r="J18" i="55" s="1"/>
  <c r="T18" i="55" s="1"/>
  <c r="R13" i="55"/>
  <c r="P11" i="55"/>
  <c r="O11" i="55"/>
  <c r="N11" i="55"/>
  <c r="H11" i="55"/>
  <c r="Q11" i="55" s="1"/>
  <c r="P10" i="55"/>
  <c r="O10" i="55"/>
  <c r="N10" i="55"/>
  <c r="H10" i="55"/>
  <c r="Q10" i="55" s="1"/>
  <c r="P9" i="55"/>
  <c r="O9" i="55"/>
  <c r="N9" i="55"/>
  <c r="H9" i="55"/>
  <c r="Q9" i="55" s="1"/>
  <c r="P8" i="55"/>
  <c r="O8" i="55"/>
  <c r="N8" i="55"/>
  <c r="H8" i="55"/>
  <c r="Q8" i="55" s="1"/>
  <c r="P7" i="55"/>
  <c r="O7" i="55"/>
  <c r="N7" i="55"/>
  <c r="H7" i="55"/>
  <c r="Q7" i="55" s="1"/>
  <c r="R6" i="55"/>
  <c r="I11" i="55" s="1"/>
  <c r="R38" i="56" l="1"/>
  <c r="S38" i="56" s="1"/>
  <c r="R52" i="56"/>
  <c r="S52" i="56" s="1"/>
  <c r="R43" i="56"/>
  <c r="S43" i="56" s="1"/>
  <c r="R45" i="56"/>
  <c r="S45" i="56" s="1"/>
  <c r="R57" i="56"/>
  <c r="S57" i="56" s="1"/>
  <c r="R59" i="56"/>
  <c r="S59" i="56" s="1"/>
  <c r="I21" i="56"/>
  <c r="I22" i="56"/>
  <c r="I23" i="56"/>
  <c r="L7" i="56"/>
  <c r="J7" i="56"/>
  <c r="L8" i="56"/>
  <c r="J8" i="56"/>
  <c r="L9" i="56"/>
  <c r="J9" i="56"/>
  <c r="T9" i="56" s="1"/>
  <c r="L10" i="56"/>
  <c r="J10" i="56"/>
  <c r="L11" i="56"/>
  <c r="J11" i="56"/>
  <c r="I14" i="56"/>
  <c r="L15" i="56"/>
  <c r="L16" i="56"/>
  <c r="L17" i="56"/>
  <c r="L18" i="56"/>
  <c r="L28" i="56"/>
  <c r="J31" i="56"/>
  <c r="J28" i="56"/>
  <c r="T28" i="56" s="1"/>
  <c r="I18" i="56"/>
  <c r="I17" i="56"/>
  <c r="I16" i="56"/>
  <c r="I7" i="56"/>
  <c r="I8" i="56"/>
  <c r="I9" i="56"/>
  <c r="I10" i="56"/>
  <c r="I11" i="56"/>
  <c r="J14" i="56"/>
  <c r="T14" i="56" s="1"/>
  <c r="L14" i="56"/>
  <c r="J15" i="56"/>
  <c r="J16" i="56"/>
  <c r="T16" i="56" s="1"/>
  <c r="J17" i="56"/>
  <c r="T17" i="56" s="1"/>
  <c r="L25" i="56"/>
  <c r="J25" i="56"/>
  <c r="T25" i="56" s="1"/>
  <c r="T31" i="56"/>
  <c r="J21" i="56"/>
  <c r="T21" i="56" s="1"/>
  <c r="L21" i="56"/>
  <c r="J22" i="56"/>
  <c r="T22" i="56" s="1"/>
  <c r="L22" i="56"/>
  <c r="J23" i="56"/>
  <c r="T23" i="56" s="1"/>
  <c r="L23" i="56"/>
  <c r="J24" i="56"/>
  <c r="T24" i="56" s="1"/>
  <c r="L24" i="56"/>
  <c r="I25" i="56"/>
  <c r="I31" i="56"/>
  <c r="I29" i="56"/>
  <c r="I28" i="56"/>
  <c r="J29" i="56"/>
  <c r="T29" i="56" s="1"/>
  <c r="I30" i="56"/>
  <c r="L30" i="56"/>
  <c r="J30" i="56"/>
  <c r="T30" i="56" s="1"/>
  <c r="L31" i="56"/>
  <c r="L29" i="56"/>
  <c r="I32" i="56"/>
  <c r="J32" i="56"/>
  <c r="T32" i="56" s="1"/>
  <c r="L32" i="56"/>
  <c r="R35" i="56"/>
  <c r="S35" i="56" s="1"/>
  <c r="R37" i="56"/>
  <c r="S37" i="56" s="1"/>
  <c r="R39" i="56"/>
  <c r="S39" i="56" s="1"/>
  <c r="R42" i="56"/>
  <c r="S42" i="56" s="1"/>
  <c r="R44" i="56"/>
  <c r="S44" i="56" s="1"/>
  <c r="R46" i="56"/>
  <c r="S46" i="56" s="1"/>
  <c r="R49" i="56"/>
  <c r="S49" i="56" s="1"/>
  <c r="R51" i="56"/>
  <c r="S51" i="56" s="1"/>
  <c r="R53" i="56"/>
  <c r="S53" i="56" s="1"/>
  <c r="R56" i="56"/>
  <c r="S56" i="56" s="1"/>
  <c r="R58" i="56"/>
  <c r="S58" i="56" s="1"/>
  <c r="R60" i="56"/>
  <c r="S60" i="56" s="1"/>
  <c r="AD11" i="55"/>
  <c r="AD13" i="55"/>
  <c r="R36" i="55"/>
  <c r="S36" i="55" s="1"/>
  <c r="R49" i="55"/>
  <c r="S49" i="55" s="1"/>
  <c r="R53" i="55"/>
  <c r="S53" i="55" s="1"/>
  <c r="AD6" i="55"/>
  <c r="AD10" i="55"/>
  <c r="AD12" i="55"/>
  <c r="AD20" i="55"/>
  <c r="AD18" i="55"/>
  <c r="AD19" i="55"/>
  <c r="AD17" i="55"/>
  <c r="R35" i="55"/>
  <c r="S35" i="55" s="1"/>
  <c r="R37" i="55"/>
  <c r="S37" i="55" s="1"/>
  <c r="R39" i="55"/>
  <c r="S39" i="55" s="1"/>
  <c r="R50" i="55"/>
  <c r="S50" i="55" s="1"/>
  <c r="R52" i="55"/>
  <c r="S52" i="55" s="1"/>
  <c r="I21" i="55"/>
  <c r="I22" i="55"/>
  <c r="I23" i="55"/>
  <c r="I24" i="55"/>
  <c r="L8" i="55"/>
  <c r="J8" i="55"/>
  <c r="T8" i="55" s="1"/>
  <c r="L7" i="55"/>
  <c r="J7" i="55"/>
  <c r="T7" i="55" s="1"/>
  <c r="I10" i="55"/>
  <c r="L10" i="55"/>
  <c r="J10" i="55"/>
  <c r="T10" i="55" s="1"/>
  <c r="L11" i="55"/>
  <c r="J11" i="55"/>
  <c r="T11" i="55" s="1"/>
  <c r="L14" i="55"/>
  <c r="L15" i="55"/>
  <c r="L16" i="55"/>
  <c r="L17" i="55"/>
  <c r="L18" i="55"/>
  <c r="L21" i="55"/>
  <c r="J21" i="55"/>
  <c r="L22" i="55"/>
  <c r="J22" i="55"/>
  <c r="T22" i="55" s="1"/>
  <c r="L23" i="55"/>
  <c r="J23" i="55"/>
  <c r="L24" i="55"/>
  <c r="J24" i="55"/>
  <c r="T24" i="55" s="1"/>
  <c r="L25" i="55"/>
  <c r="J25" i="55"/>
  <c r="T25" i="55" s="1"/>
  <c r="L28" i="55"/>
  <c r="J28" i="55"/>
  <c r="T28" i="55" s="1"/>
  <c r="L30" i="55"/>
  <c r="J30" i="55"/>
  <c r="T30" i="55" s="1"/>
  <c r="I18" i="55"/>
  <c r="I17" i="55"/>
  <c r="I16" i="55"/>
  <c r="I15" i="55"/>
  <c r="I14" i="55"/>
  <c r="I9" i="55"/>
  <c r="L9" i="55"/>
  <c r="J9" i="55"/>
  <c r="T9" i="55" s="1"/>
  <c r="I7" i="55"/>
  <c r="I8" i="55"/>
  <c r="J14" i="55"/>
  <c r="T14" i="55" s="1"/>
  <c r="J15" i="55"/>
  <c r="T15" i="55" s="1"/>
  <c r="J16" i="55"/>
  <c r="T16" i="55" s="1"/>
  <c r="J17" i="55"/>
  <c r="T17" i="55" s="1"/>
  <c r="L29" i="55"/>
  <c r="J29" i="55"/>
  <c r="T29" i="55" s="1"/>
  <c r="L31" i="55"/>
  <c r="J31" i="55"/>
  <c r="T31" i="55" s="1"/>
  <c r="L32" i="55"/>
  <c r="J32" i="55"/>
  <c r="I28" i="55"/>
  <c r="I29" i="55"/>
  <c r="I30" i="55"/>
  <c r="I31" i="55"/>
  <c r="T42" i="55"/>
  <c r="R42" i="55"/>
  <c r="S42" i="55" s="1"/>
  <c r="T43" i="55"/>
  <c r="R43" i="55"/>
  <c r="S43" i="55" s="1"/>
  <c r="T44" i="55"/>
  <c r="R44" i="55"/>
  <c r="S44" i="55" s="1"/>
  <c r="T45" i="55"/>
  <c r="R45" i="55"/>
  <c r="S45" i="55" s="1"/>
  <c r="T46" i="55"/>
  <c r="R46" i="55"/>
  <c r="S46" i="55" s="1"/>
  <c r="T56" i="55"/>
  <c r="R56" i="55"/>
  <c r="S56" i="55" s="1"/>
  <c r="T57" i="55"/>
  <c r="R57" i="55"/>
  <c r="S57" i="55" s="1"/>
  <c r="T58" i="55"/>
  <c r="R58" i="55"/>
  <c r="S58" i="55" s="1"/>
  <c r="T59" i="55"/>
  <c r="R59" i="55"/>
  <c r="S59" i="55" s="1"/>
  <c r="R60" i="55"/>
  <c r="S60" i="55" s="1"/>
  <c r="AI4" i="5"/>
  <c r="AH4" i="5"/>
  <c r="AG4" i="5"/>
  <c r="AF4" i="5"/>
  <c r="AE4" i="5"/>
  <c r="AD4" i="5"/>
  <c r="AA36" i="5"/>
  <c r="AB36" i="5"/>
  <c r="AC36" i="5"/>
  <c r="AD36" i="5"/>
  <c r="AE36" i="5"/>
  <c r="AF36" i="5"/>
  <c r="AH36" i="5"/>
  <c r="AI36" i="5"/>
  <c r="AA13" i="5"/>
  <c r="AB13" i="5"/>
  <c r="AC13" i="5"/>
  <c r="AD13" i="5"/>
  <c r="AE13" i="5"/>
  <c r="AF13" i="5"/>
  <c r="AH13" i="5"/>
  <c r="AI13" i="5"/>
  <c r="AA7" i="5"/>
  <c r="AB7" i="5"/>
  <c r="AC7" i="5"/>
  <c r="AD7" i="5"/>
  <c r="AE7" i="5"/>
  <c r="AF7" i="5"/>
  <c r="AH7" i="5"/>
  <c r="AI7" i="5"/>
  <c r="AA30" i="5"/>
  <c r="AB30" i="5"/>
  <c r="AC30" i="5"/>
  <c r="AD30" i="5"/>
  <c r="AE30" i="5"/>
  <c r="AF30" i="5"/>
  <c r="AH30" i="5"/>
  <c r="AI30" i="5"/>
  <c r="AA22" i="5"/>
  <c r="AB22" i="5"/>
  <c r="AC22" i="5"/>
  <c r="AD22" i="5"/>
  <c r="AE22" i="5"/>
  <c r="AF22" i="5"/>
  <c r="AH22" i="5"/>
  <c r="AI22" i="5"/>
  <c r="AA11" i="5"/>
  <c r="AB11" i="5"/>
  <c r="AC11" i="5"/>
  <c r="AD11" i="5"/>
  <c r="AE11" i="5"/>
  <c r="AF11" i="5"/>
  <c r="AH11" i="5"/>
  <c r="AI11" i="5"/>
  <c r="AA23" i="5"/>
  <c r="AB23" i="5"/>
  <c r="AC23" i="5"/>
  <c r="AD23" i="5"/>
  <c r="AE23" i="5"/>
  <c r="AF23" i="5"/>
  <c r="AH23" i="5"/>
  <c r="AI23" i="5"/>
  <c r="AA14" i="5"/>
  <c r="AB14" i="5"/>
  <c r="AC14" i="5"/>
  <c r="AD14" i="5"/>
  <c r="AE14" i="5"/>
  <c r="AF14" i="5"/>
  <c r="AH14" i="5"/>
  <c r="AI14" i="5"/>
  <c r="AA19" i="5"/>
  <c r="AB19" i="5"/>
  <c r="AC19" i="5"/>
  <c r="AD19" i="5"/>
  <c r="AE19" i="5"/>
  <c r="AF19" i="5"/>
  <c r="AH19" i="5"/>
  <c r="AI19" i="5"/>
  <c r="AA26" i="5"/>
  <c r="AB26" i="5"/>
  <c r="AC26" i="5"/>
  <c r="AD26" i="5"/>
  <c r="AE26" i="5"/>
  <c r="AF26" i="5"/>
  <c r="AH26" i="5"/>
  <c r="AI26" i="5"/>
  <c r="AA25" i="5"/>
  <c r="AB25" i="5"/>
  <c r="AC25" i="5"/>
  <c r="AD25" i="5"/>
  <c r="AE25" i="5"/>
  <c r="AF25" i="5"/>
  <c r="AH25" i="5"/>
  <c r="AI25" i="5"/>
  <c r="AA15" i="5"/>
  <c r="AB15" i="5"/>
  <c r="AC15" i="5"/>
  <c r="AD15" i="5"/>
  <c r="AE15" i="5"/>
  <c r="AF15" i="5"/>
  <c r="AH15" i="5"/>
  <c r="AI15" i="5"/>
  <c r="AA10" i="5"/>
  <c r="AB10" i="5"/>
  <c r="AC10" i="5"/>
  <c r="AD10" i="5"/>
  <c r="AE10" i="5"/>
  <c r="AF10" i="5"/>
  <c r="AH10" i="5"/>
  <c r="AI10" i="5"/>
  <c r="AA33" i="5"/>
  <c r="AB33" i="5"/>
  <c r="AC33" i="5"/>
  <c r="AD33" i="5"/>
  <c r="AE33" i="5"/>
  <c r="AF33" i="5"/>
  <c r="AH33" i="5"/>
  <c r="AI33" i="5"/>
  <c r="AA56" i="5"/>
  <c r="AB56" i="5"/>
  <c r="AC56" i="5"/>
  <c r="AD56" i="5"/>
  <c r="AE56" i="5"/>
  <c r="AF56" i="5"/>
  <c r="AH56" i="5"/>
  <c r="AI56" i="5"/>
  <c r="AA48" i="5"/>
  <c r="AB48" i="5"/>
  <c r="AC48" i="5"/>
  <c r="AD48" i="5"/>
  <c r="AE48" i="5"/>
  <c r="AF48" i="5"/>
  <c r="AH48" i="5"/>
  <c r="AI48" i="5"/>
  <c r="AA24" i="5"/>
  <c r="AB24" i="5"/>
  <c r="AC24" i="5"/>
  <c r="AD24" i="5"/>
  <c r="AE24" i="5"/>
  <c r="AF24" i="5"/>
  <c r="AH24" i="5"/>
  <c r="AI24" i="5"/>
  <c r="AA12" i="5"/>
  <c r="AB12" i="5"/>
  <c r="AC12" i="5"/>
  <c r="AD12" i="5"/>
  <c r="AE12" i="5"/>
  <c r="AF12" i="5"/>
  <c r="AH12" i="5"/>
  <c r="AI12" i="5"/>
  <c r="AA34" i="5"/>
  <c r="AB34" i="5"/>
  <c r="AC34" i="5"/>
  <c r="AD34" i="5"/>
  <c r="AE34" i="5"/>
  <c r="AF34" i="5"/>
  <c r="AH34" i="5"/>
  <c r="AI34" i="5"/>
  <c r="AA16" i="5"/>
  <c r="AB16" i="5"/>
  <c r="AC16" i="5"/>
  <c r="AD16" i="5"/>
  <c r="AE16" i="5"/>
  <c r="AF16" i="5"/>
  <c r="AH16" i="5"/>
  <c r="AI16" i="5"/>
  <c r="AA31" i="5"/>
  <c r="AB31" i="5"/>
  <c r="AC31" i="5"/>
  <c r="AD31" i="5"/>
  <c r="AE31" i="5"/>
  <c r="AF31" i="5"/>
  <c r="AH31" i="5"/>
  <c r="AI31" i="5"/>
  <c r="AA8" i="5"/>
  <c r="AB8" i="5"/>
  <c r="AC8" i="5"/>
  <c r="AD8" i="5"/>
  <c r="AE8" i="5"/>
  <c r="AF8" i="5"/>
  <c r="AH8" i="5"/>
  <c r="AI8" i="5"/>
  <c r="AA9" i="5"/>
  <c r="AB9" i="5"/>
  <c r="AC9" i="5"/>
  <c r="AD9" i="5"/>
  <c r="AE9" i="5"/>
  <c r="AF9" i="5"/>
  <c r="AH9" i="5"/>
  <c r="AI9" i="5"/>
  <c r="AA41" i="5"/>
  <c r="AB41" i="5"/>
  <c r="AC41" i="5"/>
  <c r="AD41" i="5"/>
  <c r="AE41" i="5"/>
  <c r="AF41" i="5"/>
  <c r="AH41" i="5"/>
  <c r="AI41" i="5"/>
  <c r="AA39" i="5"/>
  <c r="AB39" i="5"/>
  <c r="AC39" i="5"/>
  <c r="AD39" i="5"/>
  <c r="AE39" i="5"/>
  <c r="AF39" i="5"/>
  <c r="AH39" i="5"/>
  <c r="AI39" i="5"/>
  <c r="AA40" i="5"/>
  <c r="AB40" i="5"/>
  <c r="AC40" i="5"/>
  <c r="AD40" i="5"/>
  <c r="AE40" i="5"/>
  <c r="AF40" i="5"/>
  <c r="AH40" i="5"/>
  <c r="AI40" i="5"/>
  <c r="AA21" i="5"/>
  <c r="AB21" i="5"/>
  <c r="AC21" i="5"/>
  <c r="AD21" i="5"/>
  <c r="AE21" i="5"/>
  <c r="AF21" i="5"/>
  <c r="AH21" i="5"/>
  <c r="AI21" i="5"/>
  <c r="AA54" i="5"/>
  <c r="AB54" i="5"/>
  <c r="AC54" i="5"/>
  <c r="AD54" i="5"/>
  <c r="AE54" i="5"/>
  <c r="AF54" i="5"/>
  <c r="AH54" i="5"/>
  <c r="AI54" i="5"/>
  <c r="AA35" i="5"/>
  <c r="AB35" i="5"/>
  <c r="AC35" i="5"/>
  <c r="AD35" i="5"/>
  <c r="AE35" i="5"/>
  <c r="AF35" i="5"/>
  <c r="AH35" i="5"/>
  <c r="AI35" i="5"/>
  <c r="AA55" i="5"/>
  <c r="AB55" i="5"/>
  <c r="AC55" i="5"/>
  <c r="AD55" i="5"/>
  <c r="AE55" i="5"/>
  <c r="AF55" i="5"/>
  <c r="AH55" i="5"/>
  <c r="AI55" i="5"/>
  <c r="AA38" i="5"/>
  <c r="AB38" i="5"/>
  <c r="AC38" i="5"/>
  <c r="AD38" i="5"/>
  <c r="AE38" i="5"/>
  <c r="AF38" i="5"/>
  <c r="AH38" i="5"/>
  <c r="AI38" i="5"/>
  <c r="AA53" i="5"/>
  <c r="AB53" i="5"/>
  <c r="AC53" i="5"/>
  <c r="AD53" i="5"/>
  <c r="AE53" i="5"/>
  <c r="AF53" i="5"/>
  <c r="AH53" i="5"/>
  <c r="AI53" i="5"/>
  <c r="AA43" i="5"/>
  <c r="AB43" i="5"/>
  <c r="AC43" i="5"/>
  <c r="AD43" i="5"/>
  <c r="AE43" i="5"/>
  <c r="AF43" i="5"/>
  <c r="AH43" i="5"/>
  <c r="AI43" i="5"/>
  <c r="AA42" i="5"/>
  <c r="AB42" i="5"/>
  <c r="AC42" i="5"/>
  <c r="AD42" i="5"/>
  <c r="AE42" i="5"/>
  <c r="AF42" i="5"/>
  <c r="AH42" i="5"/>
  <c r="AI42" i="5"/>
  <c r="AA27" i="5"/>
  <c r="AB27" i="5"/>
  <c r="AC27" i="5"/>
  <c r="AD27" i="5"/>
  <c r="AE27" i="5"/>
  <c r="AF27" i="5"/>
  <c r="AH27" i="5"/>
  <c r="AI27" i="5"/>
  <c r="AA29" i="5"/>
  <c r="AB29" i="5"/>
  <c r="AC29" i="5"/>
  <c r="AD29" i="5"/>
  <c r="AE29" i="5"/>
  <c r="AF29" i="5"/>
  <c r="AH29" i="5"/>
  <c r="AI29" i="5"/>
  <c r="AA47" i="5"/>
  <c r="AB47" i="5"/>
  <c r="AC47" i="5"/>
  <c r="AD47" i="5"/>
  <c r="AE47" i="5"/>
  <c r="AF47" i="5"/>
  <c r="AH47" i="5"/>
  <c r="AI47" i="5"/>
  <c r="AA18" i="5"/>
  <c r="AB18" i="5"/>
  <c r="AC18" i="5"/>
  <c r="AD18" i="5"/>
  <c r="AE18" i="5"/>
  <c r="AF18" i="5"/>
  <c r="AH18" i="5"/>
  <c r="AI18" i="5"/>
  <c r="AA20" i="5"/>
  <c r="AB20" i="5"/>
  <c r="AC20" i="5"/>
  <c r="AD20" i="5"/>
  <c r="AE20" i="5"/>
  <c r="AF20" i="5"/>
  <c r="AH20" i="5"/>
  <c r="AI20" i="5"/>
  <c r="AA32" i="5"/>
  <c r="AB32" i="5"/>
  <c r="AC32" i="5"/>
  <c r="AD32" i="5"/>
  <c r="AE32" i="5"/>
  <c r="AF32" i="5"/>
  <c r="AH32" i="5"/>
  <c r="AI32" i="5"/>
  <c r="AA50" i="5"/>
  <c r="AB50" i="5"/>
  <c r="AC50" i="5"/>
  <c r="AD50" i="5"/>
  <c r="AE50" i="5"/>
  <c r="AF50" i="5"/>
  <c r="AH50" i="5"/>
  <c r="AI50" i="5"/>
  <c r="AA51" i="5"/>
  <c r="AB51" i="5"/>
  <c r="AC51" i="5"/>
  <c r="AD51" i="5"/>
  <c r="AE51" i="5"/>
  <c r="AF51" i="5"/>
  <c r="AH51" i="5"/>
  <c r="AI51" i="5"/>
  <c r="AA52" i="5"/>
  <c r="AB52" i="5"/>
  <c r="AC52" i="5"/>
  <c r="AD52" i="5"/>
  <c r="AE52" i="5"/>
  <c r="AF52" i="5"/>
  <c r="AH52" i="5"/>
  <c r="AI52" i="5"/>
  <c r="AA46" i="5"/>
  <c r="AB46" i="5"/>
  <c r="AC46" i="5"/>
  <c r="AD46" i="5"/>
  <c r="AE46" i="5"/>
  <c r="AF46" i="5"/>
  <c r="AH46" i="5"/>
  <c r="AI46" i="5"/>
  <c r="AA44" i="5"/>
  <c r="AB44" i="5"/>
  <c r="AC44" i="5"/>
  <c r="AD44" i="5"/>
  <c r="AE44" i="5"/>
  <c r="AF44" i="5"/>
  <c r="AH44" i="5"/>
  <c r="AI44" i="5"/>
  <c r="AA45" i="5"/>
  <c r="AB45" i="5"/>
  <c r="AC45" i="5"/>
  <c r="AD45" i="5"/>
  <c r="AE45" i="5"/>
  <c r="AF45" i="5"/>
  <c r="AH45" i="5"/>
  <c r="AI45" i="5"/>
  <c r="AA49" i="5"/>
  <c r="AB49" i="5"/>
  <c r="AC49" i="5"/>
  <c r="AD49" i="5"/>
  <c r="AE49" i="5"/>
  <c r="AF49" i="5"/>
  <c r="AH49" i="5"/>
  <c r="AI49" i="5"/>
  <c r="AA58" i="5"/>
  <c r="AB58" i="5"/>
  <c r="AC58" i="5"/>
  <c r="AD58" i="5"/>
  <c r="AE58" i="5"/>
  <c r="AF58" i="5"/>
  <c r="AH58" i="5"/>
  <c r="AI58" i="5"/>
  <c r="AA57" i="5"/>
  <c r="AB57" i="5"/>
  <c r="AC57" i="5"/>
  <c r="AD57" i="5"/>
  <c r="AE57" i="5"/>
  <c r="AF57" i="5"/>
  <c r="AH57" i="5"/>
  <c r="AI57" i="5"/>
  <c r="AA37" i="5"/>
  <c r="AB37" i="5"/>
  <c r="AC37" i="5"/>
  <c r="AD37" i="5"/>
  <c r="AE37" i="5"/>
  <c r="AF37" i="5"/>
  <c r="AH37" i="5"/>
  <c r="AI37" i="5"/>
  <c r="AA28" i="5"/>
  <c r="AB28" i="5"/>
  <c r="AC28" i="5"/>
  <c r="AD28" i="5"/>
  <c r="AE28" i="5"/>
  <c r="AF28" i="5"/>
  <c r="AH28" i="5"/>
  <c r="AI28" i="5"/>
  <c r="AI17" i="5"/>
  <c r="AH17" i="5"/>
  <c r="AF17" i="5"/>
  <c r="AE17" i="5"/>
  <c r="AD17" i="5"/>
  <c r="AC17" i="5"/>
  <c r="AB17" i="5"/>
  <c r="AA17" i="5"/>
  <c r="B305" i="18"/>
  <c r="C305" i="18"/>
  <c r="B306" i="18"/>
  <c r="C306" i="18"/>
  <c r="B307" i="18"/>
  <c r="C307" i="18"/>
  <c r="B308" i="18"/>
  <c r="C308" i="18"/>
  <c r="B309" i="18"/>
  <c r="C309" i="18"/>
  <c r="B310" i="18"/>
  <c r="C310" i="18"/>
  <c r="B311" i="18"/>
  <c r="C311" i="18"/>
  <c r="W17" i="18"/>
  <c r="Y17" i="18"/>
  <c r="AA17" i="18"/>
  <c r="AB17" i="18"/>
  <c r="AF17" i="18"/>
  <c r="AH17" i="18"/>
  <c r="AJ17" i="18"/>
  <c r="AI17" i="18" s="1"/>
  <c r="AL17" i="18"/>
  <c r="AK17" i="18" s="1"/>
  <c r="AN17" i="18"/>
  <c r="AM17" i="18" s="1"/>
  <c r="AP17" i="18"/>
  <c r="AO17" i="18" s="1"/>
  <c r="W18" i="18"/>
  <c r="Y18" i="18"/>
  <c r="AA18" i="18"/>
  <c r="AB18" i="18" s="1"/>
  <c r="AF18" i="18"/>
  <c r="AH18" i="18"/>
  <c r="AJ18" i="18"/>
  <c r="AI18" i="18" s="1"/>
  <c r="AL18" i="18"/>
  <c r="AK18" i="18" s="1"/>
  <c r="AN18" i="18"/>
  <c r="AM18" i="18" s="1"/>
  <c r="AP18" i="18"/>
  <c r="AO18" i="18" s="1"/>
  <c r="W19" i="18"/>
  <c r="Y19" i="18"/>
  <c r="AA19" i="18"/>
  <c r="AB19" i="18"/>
  <c r="AF19" i="18"/>
  <c r="AH19" i="18"/>
  <c r="AJ19" i="18"/>
  <c r="AI19" i="18" s="1"/>
  <c r="AL19" i="18"/>
  <c r="AK19" i="18" s="1"/>
  <c r="AN19" i="18"/>
  <c r="AM19" i="18" s="1"/>
  <c r="AP19" i="18"/>
  <c r="AO19" i="18" s="1"/>
  <c r="V46" i="5"/>
  <c r="AM46" i="5"/>
  <c r="V44" i="5"/>
  <c r="AM44" i="5"/>
  <c r="V45" i="5"/>
  <c r="AM45" i="5"/>
  <c r="V49" i="5"/>
  <c r="AM49" i="5"/>
  <c r="V58" i="5"/>
  <c r="AM58" i="5"/>
  <c r="V57" i="5"/>
  <c r="AM57" i="5"/>
  <c r="B312" i="16"/>
  <c r="C312" i="16"/>
  <c r="B313" i="16"/>
  <c r="C313" i="16"/>
  <c r="B314" i="16"/>
  <c r="C314" i="16"/>
  <c r="B315" i="16"/>
  <c r="C315" i="16"/>
  <c r="AF19" i="16"/>
  <c r="AH19" i="16"/>
  <c r="AJ19" i="16"/>
  <c r="AI19" i="16" s="1"/>
  <c r="AL19" i="16"/>
  <c r="AK19" i="16" s="1"/>
  <c r="AN19" i="16"/>
  <c r="AM19" i="16" s="1"/>
  <c r="AP19" i="16"/>
  <c r="AO19" i="16" s="1"/>
  <c r="AF20" i="16"/>
  <c r="AH20" i="16"/>
  <c r="AJ20" i="16"/>
  <c r="AI20" i="16" s="1"/>
  <c r="AL20" i="16"/>
  <c r="AK20" i="16" s="1"/>
  <c r="AN20" i="16"/>
  <c r="AM20" i="16" s="1"/>
  <c r="AP20" i="16"/>
  <c r="AO20" i="16" s="1"/>
  <c r="AF21" i="16"/>
  <c r="AH21" i="16"/>
  <c r="AJ21" i="16"/>
  <c r="AI21" i="16" s="1"/>
  <c r="AL21" i="16"/>
  <c r="AK21" i="16" s="1"/>
  <c r="AN21" i="16"/>
  <c r="AM21" i="16" s="1"/>
  <c r="AP21" i="16"/>
  <c r="AO21" i="16" s="1"/>
  <c r="AF22" i="16"/>
  <c r="AH22" i="16"/>
  <c r="AJ22" i="16"/>
  <c r="AI22" i="16" s="1"/>
  <c r="AL22" i="16"/>
  <c r="AK22" i="16" s="1"/>
  <c r="AN22" i="16"/>
  <c r="AM22" i="16" s="1"/>
  <c r="AP22" i="16"/>
  <c r="AO22" i="16" s="1"/>
  <c r="AF23" i="16"/>
  <c r="AH23" i="16"/>
  <c r="AJ23" i="16"/>
  <c r="AI23" i="16" s="1"/>
  <c r="AL23" i="16"/>
  <c r="AK23" i="16" s="1"/>
  <c r="AN23" i="16"/>
  <c r="AM23" i="16" s="1"/>
  <c r="AP23" i="16"/>
  <c r="AO23" i="16" s="1"/>
  <c r="W20" i="16"/>
  <c r="Y20" i="16"/>
  <c r="AA20" i="16"/>
  <c r="AB20" i="16" s="1"/>
  <c r="W21" i="16"/>
  <c r="Y21" i="16"/>
  <c r="AA21" i="16"/>
  <c r="AB21" i="16" s="1"/>
  <c r="W22" i="16"/>
  <c r="Y22" i="16"/>
  <c r="AA22" i="16"/>
  <c r="AB22" i="16" s="1"/>
  <c r="W23" i="16"/>
  <c r="Y23" i="16"/>
  <c r="AA23" i="16"/>
  <c r="AB23" i="16" s="1"/>
  <c r="AF19" i="15"/>
  <c r="AH19" i="15"/>
  <c r="AJ19" i="15"/>
  <c r="AI19" i="15" s="1"/>
  <c r="AL19" i="15"/>
  <c r="AK19" i="15" s="1"/>
  <c r="AN19" i="15"/>
  <c r="AM19" i="15" s="1"/>
  <c r="AP19" i="15"/>
  <c r="AO19" i="15" s="1"/>
  <c r="AF20" i="15"/>
  <c r="AH20" i="15"/>
  <c r="AJ20" i="15"/>
  <c r="AI20" i="15" s="1"/>
  <c r="AL20" i="15"/>
  <c r="AK20" i="15" s="1"/>
  <c r="AN20" i="15"/>
  <c r="AM20" i="15" s="1"/>
  <c r="AP20" i="15"/>
  <c r="AO20" i="15" s="1"/>
  <c r="AF21" i="15"/>
  <c r="AH21" i="15"/>
  <c r="AG21" i="15" s="1"/>
  <c r="AJ21" i="15"/>
  <c r="AL21" i="15"/>
  <c r="AN21" i="15"/>
  <c r="AM21" i="15" s="1"/>
  <c r="AP21" i="15"/>
  <c r="AO21" i="15" s="1"/>
  <c r="AE22" i="15"/>
  <c r="AF22" i="15"/>
  <c r="AG22" i="15"/>
  <c r="AH22" i="15"/>
  <c r="AI22" i="15"/>
  <c r="AJ22" i="15"/>
  <c r="AK22" i="15"/>
  <c r="AL22" i="15"/>
  <c r="AM22" i="15"/>
  <c r="AN22" i="15"/>
  <c r="AO22" i="15"/>
  <c r="AP22" i="15"/>
  <c r="AF23" i="15"/>
  <c r="AE23" i="15" s="1"/>
  <c r="AH23" i="15"/>
  <c r="AG23" i="15" s="1"/>
  <c r="AJ23" i="15"/>
  <c r="AI23" i="15" s="1"/>
  <c r="AL23" i="15"/>
  <c r="AK23" i="15" s="1"/>
  <c r="AN23" i="15"/>
  <c r="AM23" i="15" s="1"/>
  <c r="AP23" i="15"/>
  <c r="AO23" i="15" s="1"/>
  <c r="AE24" i="15"/>
  <c r="AF24" i="15"/>
  <c r="AG24" i="15"/>
  <c r="AH24" i="15"/>
  <c r="AI24" i="15"/>
  <c r="AJ24" i="15"/>
  <c r="AK24" i="15"/>
  <c r="AL24" i="15"/>
  <c r="AM24" i="15"/>
  <c r="AN24" i="15"/>
  <c r="AO24" i="15"/>
  <c r="AP24" i="15"/>
  <c r="AF25" i="15"/>
  <c r="AE25" i="15" s="1"/>
  <c r="AH25" i="15"/>
  <c r="AG25" i="15" s="1"/>
  <c r="AJ25" i="15"/>
  <c r="AI25" i="15" s="1"/>
  <c r="AL25" i="15"/>
  <c r="AK25" i="15" s="1"/>
  <c r="AN25" i="15"/>
  <c r="AM25" i="15" s="1"/>
  <c r="AP25" i="15"/>
  <c r="AO25" i="15" s="1"/>
  <c r="AE26" i="15"/>
  <c r="AF26" i="15"/>
  <c r="AG26" i="15"/>
  <c r="AH26" i="15"/>
  <c r="AI26" i="15"/>
  <c r="AJ26" i="15"/>
  <c r="AK26" i="15"/>
  <c r="AL26" i="15"/>
  <c r="AM26" i="15"/>
  <c r="AN26" i="15"/>
  <c r="AO26" i="15"/>
  <c r="AP26" i="15"/>
  <c r="AF27" i="15"/>
  <c r="AE27" i="15" s="1"/>
  <c r="AH27" i="15"/>
  <c r="AG27" i="15" s="1"/>
  <c r="AJ27" i="15"/>
  <c r="AI27" i="15" s="1"/>
  <c r="AL27" i="15"/>
  <c r="AK27" i="15" s="1"/>
  <c r="AN27" i="15"/>
  <c r="AM27" i="15" s="1"/>
  <c r="AP27" i="15"/>
  <c r="AO27" i="15" s="1"/>
  <c r="AE28" i="15"/>
  <c r="AF28" i="15"/>
  <c r="AG28" i="15"/>
  <c r="AH28" i="15"/>
  <c r="AI28" i="15"/>
  <c r="AJ28" i="15"/>
  <c r="AK28" i="15"/>
  <c r="AL28" i="15"/>
  <c r="AM28" i="15"/>
  <c r="AN28" i="15"/>
  <c r="AO28" i="15"/>
  <c r="AP28" i="15"/>
  <c r="AF29" i="15"/>
  <c r="AE29" i="15" s="1"/>
  <c r="AH29" i="15"/>
  <c r="AG29" i="15" s="1"/>
  <c r="AJ29" i="15"/>
  <c r="AI29" i="15" s="1"/>
  <c r="AL29" i="15"/>
  <c r="AK29" i="15" s="1"/>
  <c r="AN29" i="15"/>
  <c r="AM29" i="15" s="1"/>
  <c r="AP29" i="15"/>
  <c r="AO29" i="15" s="1"/>
  <c r="AE30" i="15"/>
  <c r="AF30" i="15"/>
  <c r="AG30" i="15"/>
  <c r="AH30" i="15"/>
  <c r="AI30" i="15"/>
  <c r="AJ30" i="15"/>
  <c r="AK30" i="15"/>
  <c r="AL30" i="15"/>
  <c r="AM30" i="15"/>
  <c r="AN30" i="15"/>
  <c r="AO30" i="15"/>
  <c r="AP30" i="15"/>
  <c r="AF31" i="15"/>
  <c r="AE31" i="15" s="1"/>
  <c r="AH31" i="15"/>
  <c r="AG31" i="15" s="1"/>
  <c r="AJ31" i="15"/>
  <c r="AI31" i="15" s="1"/>
  <c r="AL31" i="15"/>
  <c r="AK31" i="15" s="1"/>
  <c r="AN31" i="15"/>
  <c r="AM31" i="15" s="1"/>
  <c r="AP31" i="15"/>
  <c r="AO31" i="15" s="1"/>
  <c r="AE32" i="15"/>
  <c r="AF32" i="15"/>
  <c r="AG32" i="15"/>
  <c r="AH32" i="15"/>
  <c r="AI32" i="15"/>
  <c r="AJ32" i="15"/>
  <c r="AK32" i="15"/>
  <c r="AL32" i="15"/>
  <c r="AM32" i="15"/>
  <c r="AN32" i="15"/>
  <c r="AO32" i="15"/>
  <c r="AP32" i="15"/>
  <c r="AF33" i="15"/>
  <c r="AE33" i="15" s="1"/>
  <c r="AH33" i="15"/>
  <c r="AG33" i="15" s="1"/>
  <c r="AJ33" i="15"/>
  <c r="AI33" i="15" s="1"/>
  <c r="AL33" i="15"/>
  <c r="AK33" i="15" s="1"/>
  <c r="AN33" i="15"/>
  <c r="AM33" i="15" s="1"/>
  <c r="AP33" i="15"/>
  <c r="AO33" i="15" s="1"/>
  <c r="AE34" i="15"/>
  <c r="AF34" i="15"/>
  <c r="AG34" i="15"/>
  <c r="AH34" i="15"/>
  <c r="AI34" i="15"/>
  <c r="AJ34" i="15"/>
  <c r="AK34" i="15"/>
  <c r="AL34" i="15"/>
  <c r="AM34" i="15"/>
  <c r="AN34" i="15"/>
  <c r="AO34" i="15"/>
  <c r="AP34" i="15"/>
  <c r="AF35" i="15"/>
  <c r="AE35" i="15" s="1"/>
  <c r="AH35" i="15"/>
  <c r="AG35" i="15" s="1"/>
  <c r="AJ35" i="15"/>
  <c r="AI35" i="15" s="1"/>
  <c r="AL35" i="15"/>
  <c r="AK35" i="15" s="1"/>
  <c r="AN35" i="15"/>
  <c r="AM35" i="15" s="1"/>
  <c r="AP35" i="15"/>
  <c r="AO35" i="15" s="1"/>
  <c r="AE36" i="15"/>
  <c r="AF36" i="15"/>
  <c r="AG36" i="15"/>
  <c r="AH36" i="15"/>
  <c r="AI36" i="15"/>
  <c r="AJ36" i="15"/>
  <c r="AK36" i="15"/>
  <c r="AL36" i="15"/>
  <c r="AM36" i="15"/>
  <c r="AN36" i="15"/>
  <c r="AO36" i="15"/>
  <c r="AP36" i="15"/>
  <c r="AF37" i="15"/>
  <c r="AE37" i="15" s="1"/>
  <c r="AH37" i="15"/>
  <c r="AG37" i="15" s="1"/>
  <c r="AJ37" i="15"/>
  <c r="AI37" i="15" s="1"/>
  <c r="AL37" i="15"/>
  <c r="AK37" i="15" s="1"/>
  <c r="AN37" i="15"/>
  <c r="AM37" i="15" s="1"/>
  <c r="AP37" i="15"/>
  <c r="AO37" i="15" s="1"/>
  <c r="AE38" i="15"/>
  <c r="AF38" i="15"/>
  <c r="AG38" i="15"/>
  <c r="AH38" i="15"/>
  <c r="AI38" i="15"/>
  <c r="AJ38" i="15"/>
  <c r="AK38" i="15"/>
  <c r="AL38" i="15"/>
  <c r="AM38" i="15"/>
  <c r="AN38" i="15"/>
  <c r="AO38" i="15"/>
  <c r="AP38" i="15"/>
  <c r="AF39" i="15"/>
  <c r="AE39" i="15" s="1"/>
  <c r="AH39" i="15"/>
  <c r="AG39" i="15" s="1"/>
  <c r="AJ39" i="15"/>
  <c r="AI39" i="15" s="1"/>
  <c r="AL39" i="15"/>
  <c r="AK39" i="15" s="1"/>
  <c r="AN39" i="15"/>
  <c r="AM39" i="15" s="1"/>
  <c r="AP39" i="15"/>
  <c r="AO39" i="15" s="1"/>
  <c r="AE40" i="15"/>
  <c r="AF40" i="15"/>
  <c r="AG40" i="15"/>
  <c r="AH40" i="15"/>
  <c r="AI40" i="15"/>
  <c r="AJ40" i="15"/>
  <c r="AK40" i="15"/>
  <c r="AL40" i="15"/>
  <c r="AM40" i="15"/>
  <c r="AN40" i="15"/>
  <c r="AO40" i="15"/>
  <c r="AP40" i="15"/>
  <c r="AF41" i="15"/>
  <c r="AE41" i="15" s="1"/>
  <c r="AH41" i="15"/>
  <c r="AG41" i="15" s="1"/>
  <c r="AJ41" i="15"/>
  <c r="AI41" i="15" s="1"/>
  <c r="AL41" i="15"/>
  <c r="AK41" i="15" s="1"/>
  <c r="AN41" i="15"/>
  <c r="AM41" i="15" s="1"/>
  <c r="AP41" i="15"/>
  <c r="AO41" i="15" s="1"/>
  <c r="AE42" i="15"/>
  <c r="AF42" i="15"/>
  <c r="AG42" i="15"/>
  <c r="AH42" i="15"/>
  <c r="AI42" i="15"/>
  <c r="AJ42" i="15"/>
  <c r="AK42" i="15"/>
  <c r="AL42" i="15"/>
  <c r="AM42" i="15"/>
  <c r="AN42" i="15"/>
  <c r="AO42" i="15"/>
  <c r="AP42" i="15"/>
  <c r="AF43" i="15"/>
  <c r="AE43" i="15" s="1"/>
  <c r="AG43" i="15"/>
  <c r="AH43" i="15"/>
  <c r="AI43" i="15"/>
  <c r="AJ43" i="15"/>
  <c r="AK43" i="15"/>
  <c r="AL43" i="15"/>
  <c r="AM43" i="15"/>
  <c r="AN43" i="15"/>
  <c r="AO43" i="15"/>
  <c r="AP43" i="15"/>
  <c r="AF44" i="15"/>
  <c r="AE44" i="15" s="1"/>
  <c r="AH44" i="15"/>
  <c r="AG44" i="15" s="1"/>
  <c r="AJ44" i="15"/>
  <c r="AI44" i="15" s="1"/>
  <c r="AL44" i="15"/>
  <c r="AK44" i="15" s="1"/>
  <c r="AN44" i="15"/>
  <c r="AM44" i="15" s="1"/>
  <c r="AP44" i="15"/>
  <c r="AO44" i="15" s="1"/>
  <c r="AE45" i="15"/>
  <c r="AF45" i="15"/>
  <c r="AG45" i="15"/>
  <c r="AH45" i="15"/>
  <c r="AI45" i="15"/>
  <c r="AJ45" i="15"/>
  <c r="AK45" i="15"/>
  <c r="AL45" i="15"/>
  <c r="AM45" i="15"/>
  <c r="AN45" i="15"/>
  <c r="AO45" i="15"/>
  <c r="AP45" i="15"/>
  <c r="AF46" i="15"/>
  <c r="AE46" i="15" s="1"/>
  <c r="AH46" i="15"/>
  <c r="AG46" i="15" s="1"/>
  <c r="AJ46" i="15"/>
  <c r="AI46" i="15" s="1"/>
  <c r="AL46" i="15"/>
  <c r="AK46" i="15" s="1"/>
  <c r="AN46" i="15"/>
  <c r="AM46" i="15" s="1"/>
  <c r="AP46" i="15"/>
  <c r="AO46" i="15" s="1"/>
  <c r="AE47" i="15"/>
  <c r="AF47" i="15"/>
  <c r="AG47" i="15"/>
  <c r="AH47" i="15"/>
  <c r="AI47" i="15"/>
  <c r="AJ47" i="15"/>
  <c r="AK47" i="15"/>
  <c r="AL47" i="15"/>
  <c r="AM47" i="15"/>
  <c r="AN47" i="15"/>
  <c r="AO47" i="15"/>
  <c r="AP47" i="15"/>
  <c r="AF48" i="15"/>
  <c r="AE48" i="15" s="1"/>
  <c r="AH48" i="15"/>
  <c r="AG48" i="15" s="1"/>
  <c r="AJ48" i="15"/>
  <c r="AI48" i="15" s="1"/>
  <c r="AL48" i="15"/>
  <c r="AK48" i="15" s="1"/>
  <c r="AN48" i="15"/>
  <c r="AM48" i="15" s="1"/>
  <c r="AP48" i="15"/>
  <c r="AO48" i="15" s="1"/>
  <c r="AE49" i="15"/>
  <c r="AF49" i="15"/>
  <c r="AG49" i="15"/>
  <c r="AH49" i="15"/>
  <c r="AI49" i="15"/>
  <c r="AJ49" i="15"/>
  <c r="AK49" i="15"/>
  <c r="AL49" i="15"/>
  <c r="AM49" i="15"/>
  <c r="AN49" i="15"/>
  <c r="AO49" i="15"/>
  <c r="AP49" i="15"/>
  <c r="AF50" i="15"/>
  <c r="AE50" i="15" s="1"/>
  <c r="AH50" i="15"/>
  <c r="AG50" i="15" s="1"/>
  <c r="AJ50" i="15"/>
  <c r="AI50" i="15" s="1"/>
  <c r="AL50" i="15"/>
  <c r="AK50" i="15" s="1"/>
  <c r="AN50" i="15"/>
  <c r="AM50" i="15" s="1"/>
  <c r="AP50" i="15"/>
  <c r="AO50" i="15" s="1"/>
  <c r="AE51" i="15"/>
  <c r="AF51" i="15"/>
  <c r="AG51" i="15"/>
  <c r="AH51" i="15"/>
  <c r="AI51" i="15"/>
  <c r="AJ51" i="15"/>
  <c r="AK51" i="15"/>
  <c r="AL51" i="15"/>
  <c r="AM51" i="15"/>
  <c r="AN51" i="15"/>
  <c r="AO51" i="15"/>
  <c r="AP51" i="15"/>
  <c r="AF52" i="15"/>
  <c r="AE52" i="15" s="1"/>
  <c r="AH52" i="15"/>
  <c r="AG52" i="15" s="1"/>
  <c r="AJ52" i="15"/>
  <c r="AI52" i="15" s="1"/>
  <c r="AL52" i="15"/>
  <c r="AK52" i="15" s="1"/>
  <c r="AN52" i="15"/>
  <c r="AM52" i="15" s="1"/>
  <c r="AP52" i="15"/>
  <c r="AO52" i="15" s="1"/>
  <c r="AE53" i="15"/>
  <c r="AF53" i="15"/>
  <c r="AG53" i="15"/>
  <c r="AH53" i="15"/>
  <c r="AI53" i="15"/>
  <c r="AJ53" i="15"/>
  <c r="AK53" i="15"/>
  <c r="AL53" i="15"/>
  <c r="AM53" i="15"/>
  <c r="AN53" i="15"/>
  <c r="AO53" i="15"/>
  <c r="AP53" i="15"/>
  <c r="AF54" i="15"/>
  <c r="AE54" i="15" s="1"/>
  <c r="AH54" i="15"/>
  <c r="AG54" i="15" s="1"/>
  <c r="AJ54" i="15"/>
  <c r="AI54" i="15" s="1"/>
  <c r="AL54" i="15"/>
  <c r="AK54" i="15" s="1"/>
  <c r="AN54" i="15"/>
  <c r="AM54" i="15" s="1"/>
  <c r="AP54" i="15"/>
  <c r="AO54" i="15" s="1"/>
  <c r="AE55" i="15"/>
  <c r="AF55" i="15"/>
  <c r="AG55" i="15"/>
  <c r="AH55" i="15"/>
  <c r="AI55" i="15"/>
  <c r="AJ55" i="15"/>
  <c r="AK55" i="15"/>
  <c r="AL55" i="15"/>
  <c r="AM55" i="15"/>
  <c r="AN55" i="15"/>
  <c r="AO55" i="15"/>
  <c r="AP55" i="15"/>
  <c r="AF56" i="15"/>
  <c r="AE56" i="15" s="1"/>
  <c r="AH56" i="15"/>
  <c r="AG56" i="15" s="1"/>
  <c r="AJ56" i="15"/>
  <c r="AI56" i="15" s="1"/>
  <c r="AL56" i="15"/>
  <c r="AK56" i="15" s="1"/>
  <c r="AN56" i="15"/>
  <c r="AM56" i="15" s="1"/>
  <c r="AP56" i="15"/>
  <c r="AO56" i="15" s="1"/>
  <c r="AE57" i="15"/>
  <c r="AF57" i="15"/>
  <c r="AG57" i="15"/>
  <c r="AH57" i="15"/>
  <c r="AI57" i="15"/>
  <c r="AJ57" i="15"/>
  <c r="AK57" i="15"/>
  <c r="AL57" i="15"/>
  <c r="AM57" i="15"/>
  <c r="AN57" i="15"/>
  <c r="AO57" i="15"/>
  <c r="AP57" i="15"/>
  <c r="AF58" i="15"/>
  <c r="AE58" i="15" s="1"/>
  <c r="AH58" i="15"/>
  <c r="AG58" i="15" s="1"/>
  <c r="AJ58" i="15"/>
  <c r="AI58" i="15" s="1"/>
  <c r="AL58" i="15"/>
  <c r="AK58" i="15" s="1"/>
  <c r="AN58" i="15"/>
  <c r="AM58" i="15" s="1"/>
  <c r="AP58" i="15"/>
  <c r="AO58" i="15" s="1"/>
  <c r="AE59" i="15"/>
  <c r="AF59" i="15"/>
  <c r="AG59" i="15"/>
  <c r="AH59" i="15"/>
  <c r="AI59" i="15"/>
  <c r="AJ59" i="15"/>
  <c r="AK59" i="15"/>
  <c r="AL59" i="15"/>
  <c r="AM59" i="15"/>
  <c r="AN59" i="15"/>
  <c r="AO59" i="15"/>
  <c r="AP59" i="15"/>
  <c r="AF60" i="15"/>
  <c r="AE60" i="15" s="1"/>
  <c r="AH60" i="15"/>
  <c r="AG60" i="15" s="1"/>
  <c r="AJ60" i="15"/>
  <c r="AI60" i="15" s="1"/>
  <c r="AL60" i="15"/>
  <c r="AK60" i="15" s="1"/>
  <c r="AN60" i="15"/>
  <c r="AM60" i="15" s="1"/>
  <c r="AP60" i="15"/>
  <c r="AO60" i="15" s="1"/>
  <c r="AE61" i="15"/>
  <c r="AF61" i="15"/>
  <c r="AG61" i="15"/>
  <c r="AH61" i="15"/>
  <c r="AI61" i="15"/>
  <c r="AJ61" i="15"/>
  <c r="AK61" i="15"/>
  <c r="AL61" i="15"/>
  <c r="AM61" i="15"/>
  <c r="AN61" i="15"/>
  <c r="AO61" i="15"/>
  <c r="AP61" i="15"/>
  <c r="AF62" i="15"/>
  <c r="AE62" i="15" s="1"/>
  <c r="AH62" i="15"/>
  <c r="AG62" i="15" s="1"/>
  <c r="AJ62" i="15"/>
  <c r="AI62" i="15" s="1"/>
  <c r="AL62" i="15"/>
  <c r="AK62" i="15" s="1"/>
  <c r="AN62" i="15"/>
  <c r="AM62" i="15" s="1"/>
  <c r="AP62" i="15"/>
  <c r="AO62" i="15" s="1"/>
  <c r="AE63" i="15"/>
  <c r="AF63" i="15"/>
  <c r="AG63" i="15"/>
  <c r="AH63" i="15"/>
  <c r="AI63" i="15"/>
  <c r="AJ63" i="15"/>
  <c r="AK63" i="15"/>
  <c r="AL63" i="15"/>
  <c r="AM63" i="15"/>
  <c r="AN63" i="15"/>
  <c r="AO63" i="15"/>
  <c r="AP63" i="15"/>
  <c r="AF64" i="15"/>
  <c r="AE64" i="15" s="1"/>
  <c r="AH64" i="15"/>
  <c r="AG64" i="15" s="1"/>
  <c r="AJ64" i="15"/>
  <c r="AI64" i="15" s="1"/>
  <c r="AL64" i="15"/>
  <c r="AK64" i="15" s="1"/>
  <c r="AN64" i="15"/>
  <c r="AM64" i="15" s="1"/>
  <c r="AP64" i="15"/>
  <c r="AO64" i="15" s="1"/>
  <c r="AE65" i="15"/>
  <c r="AF65" i="15"/>
  <c r="AG65" i="15"/>
  <c r="AH65" i="15"/>
  <c r="AI65" i="15"/>
  <c r="AJ65" i="15"/>
  <c r="AK65" i="15"/>
  <c r="AL65" i="15"/>
  <c r="AM65" i="15"/>
  <c r="AN65" i="15"/>
  <c r="AO65" i="15"/>
  <c r="AP65" i="15"/>
  <c r="AF66" i="15"/>
  <c r="AE66" i="15" s="1"/>
  <c r="AH66" i="15"/>
  <c r="AG66" i="15" s="1"/>
  <c r="AJ66" i="15"/>
  <c r="AI66" i="15" s="1"/>
  <c r="AL66" i="15"/>
  <c r="AK66" i="15" s="1"/>
  <c r="AN66" i="15"/>
  <c r="AM66" i="15" s="1"/>
  <c r="AP66" i="15"/>
  <c r="AO66" i="15" s="1"/>
  <c r="AE67" i="15"/>
  <c r="AF67" i="15"/>
  <c r="AG67" i="15"/>
  <c r="AH67" i="15"/>
  <c r="AI67" i="15"/>
  <c r="AJ67" i="15"/>
  <c r="AK67" i="15"/>
  <c r="AL67" i="15"/>
  <c r="AM67" i="15"/>
  <c r="AN67" i="15"/>
  <c r="AO67" i="15"/>
  <c r="AP67" i="15"/>
  <c r="AF68" i="15"/>
  <c r="AE68" i="15" s="1"/>
  <c r="AH68" i="15"/>
  <c r="AG68" i="15" s="1"/>
  <c r="AJ68" i="15"/>
  <c r="AI68" i="15" s="1"/>
  <c r="AL68" i="15"/>
  <c r="AK68" i="15" s="1"/>
  <c r="AN68" i="15"/>
  <c r="AM68" i="15" s="1"/>
  <c r="AP68" i="15"/>
  <c r="AO68" i="15" s="1"/>
  <c r="AE69" i="15"/>
  <c r="AF69" i="15"/>
  <c r="AG69" i="15"/>
  <c r="AH69" i="15"/>
  <c r="AI69" i="15"/>
  <c r="AJ69" i="15"/>
  <c r="AK69" i="15"/>
  <c r="AL69" i="15"/>
  <c r="AM69" i="15"/>
  <c r="AN69" i="15"/>
  <c r="AO69" i="15"/>
  <c r="AP69" i="15"/>
  <c r="AF70" i="15"/>
  <c r="AE70" i="15" s="1"/>
  <c r="AH70" i="15"/>
  <c r="AG70" i="15" s="1"/>
  <c r="AJ70" i="15"/>
  <c r="AI70" i="15" s="1"/>
  <c r="AL70" i="15"/>
  <c r="AK70" i="15" s="1"/>
  <c r="AN70" i="15"/>
  <c r="AM70" i="15" s="1"/>
  <c r="AP70" i="15"/>
  <c r="AO70" i="15" s="1"/>
  <c r="AE71" i="15"/>
  <c r="AF71" i="15"/>
  <c r="AG71" i="15"/>
  <c r="AH71" i="15"/>
  <c r="AI71" i="15"/>
  <c r="AJ71" i="15"/>
  <c r="AK71" i="15"/>
  <c r="AL71" i="15"/>
  <c r="AM71" i="15"/>
  <c r="AN71" i="15"/>
  <c r="AO71" i="15"/>
  <c r="AP71" i="15"/>
  <c r="AF72" i="15"/>
  <c r="AE72" i="15" s="1"/>
  <c r="AH72" i="15"/>
  <c r="AG72" i="15" s="1"/>
  <c r="AJ72" i="15"/>
  <c r="AI72" i="15" s="1"/>
  <c r="AL72" i="15"/>
  <c r="AK72" i="15" s="1"/>
  <c r="AN72" i="15"/>
  <c r="AM72" i="15" s="1"/>
  <c r="AP72" i="15"/>
  <c r="AO72" i="15" s="1"/>
  <c r="AE73" i="15"/>
  <c r="AF73" i="15"/>
  <c r="AG73" i="15"/>
  <c r="AH73" i="15"/>
  <c r="AI73" i="15"/>
  <c r="AJ73" i="15"/>
  <c r="AK73" i="15"/>
  <c r="AL73" i="15"/>
  <c r="AM73" i="15"/>
  <c r="AN73" i="15"/>
  <c r="AO73" i="15"/>
  <c r="AP73" i="15"/>
  <c r="AF74" i="15"/>
  <c r="AE74" i="15" s="1"/>
  <c r="AH74" i="15"/>
  <c r="AG74" i="15" s="1"/>
  <c r="AJ74" i="15"/>
  <c r="AI74" i="15" s="1"/>
  <c r="AL74" i="15"/>
  <c r="AK74" i="15" s="1"/>
  <c r="AN74" i="15"/>
  <c r="AM74" i="15" s="1"/>
  <c r="AP74" i="15"/>
  <c r="AO74" i="15" s="1"/>
  <c r="AE75" i="15"/>
  <c r="AF75" i="15"/>
  <c r="AG75" i="15"/>
  <c r="AH75" i="15"/>
  <c r="AI75" i="15"/>
  <c r="AJ75" i="15"/>
  <c r="AK75" i="15"/>
  <c r="AL75" i="15"/>
  <c r="AM75" i="15"/>
  <c r="AN75" i="15"/>
  <c r="AO75" i="15"/>
  <c r="AP75" i="15"/>
  <c r="AF76" i="15"/>
  <c r="AE76" i="15" s="1"/>
  <c r="AH76" i="15"/>
  <c r="AG76" i="15" s="1"/>
  <c r="AJ76" i="15"/>
  <c r="AI76" i="15" s="1"/>
  <c r="AL76" i="15"/>
  <c r="AK76" i="15" s="1"/>
  <c r="AN76" i="15"/>
  <c r="AM76" i="15" s="1"/>
  <c r="AP76" i="15"/>
  <c r="AO76" i="15" s="1"/>
  <c r="AE77" i="15"/>
  <c r="AF77" i="15"/>
  <c r="AG77" i="15"/>
  <c r="AH77" i="15"/>
  <c r="AI77" i="15"/>
  <c r="AJ77" i="15"/>
  <c r="AK77" i="15"/>
  <c r="AL77" i="15"/>
  <c r="AM77" i="15"/>
  <c r="AN77" i="15"/>
  <c r="AO77" i="15"/>
  <c r="AP77" i="15"/>
  <c r="AF78" i="15"/>
  <c r="AE78" i="15" s="1"/>
  <c r="AH78" i="15"/>
  <c r="AG78" i="15" s="1"/>
  <c r="AJ78" i="15"/>
  <c r="AI78" i="15" s="1"/>
  <c r="AL78" i="15"/>
  <c r="AK78" i="15" s="1"/>
  <c r="AN78" i="15"/>
  <c r="AM78" i="15" s="1"/>
  <c r="AP78" i="15"/>
  <c r="AO78" i="15" s="1"/>
  <c r="AE79" i="15"/>
  <c r="AF79" i="15"/>
  <c r="AG79" i="15"/>
  <c r="AH79" i="15"/>
  <c r="AI79" i="15"/>
  <c r="AJ79" i="15"/>
  <c r="AK79" i="15"/>
  <c r="AL79" i="15"/>
  <c r="AM79" i="15"/>
  <c r="AN79" i="15"/>
  <c r="AO79" i="15"/>
  <c r="AP79" i="15"/>
  <c r="AF80" i="15"/>
  <c r="AE80" i="15" s="1"/>
  <c r="AH80" i="15"/>
  <c r="AG80" i="15" s="1"/>
  <c r="AJ80" i="15"/>
  <c r="AI80" i="15" s="1"/>
  <c r="AL80" i="15"/>
  <c r="AK80" i="15" s="1"/>
  <c r="AN80" i="15"/>
  <c r="AM80" i="15" s="1"/>
  <c r="AP80" i="15"/>
  <c r="AO80" i="15" s="1"/>
  <c r="AE81" i="15"/>
  <c r="AF81" i="15"/>
  <c r="AG81" i="15"/>
  <c r="AH81" i="15"/>
  <c r="AI81" i="15"/>
  <c r="AJ81" i="15"/>
  <c r="AK81" i="15"/>
  <c r="AL81" i="15"/>
  <c r="AM81" i="15"/>
  <c r="AN81" i="15"/>
  <c r="AO81" i="15"/>
  <c r="AP81" i="15"/>
  <c r="AF82" i="15"/>
  <c r="AE82" i="15" s="1"/>
  <c r="AH82" i="15"/>
  <c r="AG82" i="15" s="1"/>
  <c r="AJ82" i="15"/>
  <c r="AI82" i="15" s="1"/>
  <c r="AL82" i="15"/>
  <c r="AK82" i="15" s="1"/>
  <c r="AN82" i="15"/>
  <c r="AM82" i="15" s="1"/>
  <c r="AP82" i="15"/>
  <c r="AO82" i="15" s="1"/>
  <c r="AE83" i="15"/>
  <c r="AF83" i="15"/>
  <c r="AG83" i="15"/>
  <c r="AH83" i="15"/>
  <c r="AI83" i="15"/>
  <c r="AJ83" i="15"/>
  <c r="AK83" i="15"/>
  <c r="AL83" i="15"/>
  <c r="AM83" i="15"/>
  <c r="AN83" i="15"/>
  <c r="AO83" i="15"/>
  <c r="AP83" i="15"/>
  <c r="AF84" i="15"/>
  <c r="AE84" i="15" s="1"/>
  <c r="AH84" i="15"/>
  <c r="AG84" i="15" s="1"/>
  <c r="AJ84" i="15"/>
  <c r="AI84" i="15" s="1"/>
  <c r="AL84" i="15"/>
  <c r="AK84" i="15" s="1"/>
  <c r="AN84" i="15"/>
  <c r="AM84" i="15" s="1"/>
  <c r="AP84" i="15"/>
  <c r="AO84" i="15" s="1"/>
  <c r="AE85" i="15"/>
  <c r="AF85" i="15"/>
  <c r="AG85" i="15"/>
  <c r="AH85" i="15"/>
  <c r="AI85" i="15"/>
  <c r="AJ85" i="15"/>
  <c r="AK85" i="15"/>
  <c r="AL85" i="15"/>
  <c r="AM85" i="15"/>
  <c r="AN85" i="15"/>
  <c r="AO85" i="15"/>
  <c r="AP85" i="15"/>
  <c r="AF86" i="15"/>
  <c r="AE86" i="15" s="1"/>
  <c r="AH86" i="15"/>
  <c r="AG86" i="15" s="1"/>
  <c r="AJ86" i="15"/>
  <c r="AI86" i="15" s="1"/>
  <c r="AL86" i="15"/>
  <c r="AK86" i="15" s="1"/>
  <c r="AN86" i="15"/>
  <c r="AM86" i="15" s="1"/>
  <c r="AP86" i="15"/>
  <c r="AO86" i="15" s="1"/>
  <c r="AE87" i="15"/>
  <c r="AF87" i="15"/>
  <c r="AG87" i="15"/>
  <c r="AH87" i="15"/>
  <c r="AI87" i="15"/>
  <c r="AJ87" i="15"/>
  <c r="AK87" i="15"/>
  <c r="AL87" i="15"/>
  <c r="AM87" i="15"/>
  <c r="AN87" i="15"/>
  <c r="AO87" i="15"/>
  <c r="AP87" i="15"/>
  <c r="AF88" i="15"/>
  <c r="AE88" i="15" s="1"/>
  <c r="AH88" i="15"/>
  <c r="AG88" i="15" s="1"/>
  <c r="AJ88" i="15"/>
  <c r="AI88" i="15" s="1"/>
  <c r="AL88" i="15"/>
  <c r="AK88" i="15" s="1"/>
  <c r="AN88" i="15"/>
  <c r="AM88" i="15" s="1"/>
  <c r="AP88" i="15"/>
  <c r="AO88" i="15" s="1"/>
  <c r="AE89" i="15"/>
  <c r="AF89" i="15"/>
  <c r="AG89" i="15"/>
  <c r="AH89" i="15"/>
  <c r="AI89" i="15"/>
  <c r="AJ89" i="15"/>
  <c r="AK89" i="15"/>
  <c r="AL89" i="15"/>
  <c r="AM89" i="15"/>
  <c r="AN89" i="15"/>
  <c r="AO89" i="15"/>
  <c r="AP89" i="15"/>
  <c r="AF90" i="15"/>
  <c r="AE90" i="15" s="1"/>
  <c r="AH90" i="15"/>
  <c r="AG90" i="15" s="1"/>
  <c r="AJ90" i="15"/>
  <c r="AI90" i="15" s="1"/>
  <c r="AL90" i="15"/>
  <c r="AK90" i="15" s="1"/>
  <c r="AN90" i="15"/>
  <c r="AM90" i="15" s="1"/>
  <c r="AP90" i="15"/>
  <c r="AO90" i="15" s="1"/>
  <c r="AE91" i="15"/>
  <c r="AF91" i="15"/>
  <c r="AG91" i="15"/>
  <c r="AH91" i="15"/>
  <c r="AI91" i="15"/>
  <c r="AJ91" i="15"/>
  <c r="AK91" i="15"/>
  <c r="AL91" i="15"/>
  <c r="AM91" i="15"/>
  <c r="AN91" i="15"/>
  <c r="AO91" i="15"/>
  <c r="AP91" i="15"/>
  <c r="AF92" i="15"/>
  <c r="AE92" i="15" s="1"/>
  <c r="AH92" i="15"/>
  <c r="AG92" i="15" s="1"/>
  <c r="AJ92" i="15"/>
  <c r="AI92" i="15" s="1"/>
  <c r="AL92" i="15"/>
  <c r="AK92" i="15" s="1"/>
  <c r="AN92" i="15"/>
  <c r="AM92" i="15" s="1"/>
  <c r="AP92" i="15"/>
  <c r="AO92" i="15" s="1"/>
  <c r="AE93" i="15"/>
  <c r="AF93" i="15"/>
  <c r="AG93" i="15"/>
  <c r="AH93" i="15"/>
  <c r="AI93" i="15"/>
  <c r="AJ93" i="15"/>
  <c r="AK93" i="15"/>
  <c r="AL93" i="15"/>
  <c r="AM93" i="15"/>
  <c r="AN93" i="15"/>
  <c r="AO93" i="15"/>
  <c r="AP93" i="15"/>
  <c r="AF94" i="15"/>
  <c r="AE94" i="15" s="1"/>
  <c r="AH94" i="15"/>
  <c r="AG94" i="15" s="1"/>
  <c r="AJ94" i="15"/>
  <c r="AI94" i="15" s="1"/>
  <c r="AL94" i="15"/>
  <c r="AK94" i="15" s="1"/>
  <c r="AN94" i="15"/>
  <c r="AM94" i="15" s="1"/>
  <c r="AP94" i="15"/>
  <c r="AO94" i="15" s="1"/>
  <c r="AE95" i="15"/>
  <c r="AF95" i="15"/>
  <c r="AG95" i="15"/>
  <c r="AH95" i="15"/>
  <c r="AI95" i="15"/>
  <c r="AJ95" i="15"/>
  <c r="AK95" i="15"/>
  <c r="AL95" i="15"/>
  <c r="AM95" i="15"/>
  <c r="AN95" i="15"/>
  <c r="AO95" i="15"/>
  <c r="AP95" i="15"/>
  <c r="AF96" i="15"/>
  <c r="AE96" i="15" s="1"/>
  <c r="AH96" i="15"/>
  <c r="AG96" i="15" s="1"/>
  <c r="AJ96" i="15"/>
  <c r="AI96" i="15" s="1"/>
  <c r="AL96" i="15"/>
  <c r="AK96" i="15" s="1"/>
  <c r="AN96" i="15"/>
  <c r="AM96" i="15" s="1"/>
  <c r="AP96" i="15"/>
  <c r="AO96" i="15" s="1"/>
  <c r="AE97" i="15"/>
  <c r="AF97" i="15"/>
  <c r="AG97" i="15"/>
  <c r="AH97" i="15"/>
  <c r="AI97" i="15"/>
  <c r="AJ97" i="15"/>
  <c r="AK97" i="15"/>
  <c r="AL97" i="15"/>
  <c r="AM97" i="15"/>
  <c r="AN97" i="15"/>
  <c r="AO97" i="15"/>
  <c r="AP97" i="15"/>
  <c r="AF98" i="15"/>
  <c r="AE98" i="15" s="1"/>
  <c r="AH98" i="15"/>
  <c r="AG98" i="15" s="1"/>
  <c r="AJ98" i="15"/>
  <c r="AI98" i="15" s="1"/>
  <c r="AL98" i="15"/>
  <c r="AK98" i="15" s="1"/>
  <c r="AN98" i="15"/>
  <c r="AM98" i="15" s="1"/>
  <c r="AP98" i="15"/>
  <c r="AO98" i="15" s="1"/>
  <c r="AE99" i="15"/>
  <c r="AF99" i="15"/>
  <c r="AG99" i="15"/>
  <c r="AH99" i="15"/>
  <c r="AI99" i="15"/>
  <c r="AJ99" i="15"/>
  <c r="AK99" i="15"/>
  <c r="AL99" i="15"/>
  <c r="AM99" i="15"/>
  <c r="AN99" i="15"/>
  <c r="AO99" i="15"/>
  <c r="AP99" i="15"/>
  <c r="AF100" i="15"/>
  <c r="AE100" i="15" s="1"/>
  <c r="AH100" i="15"/>
  <c r="AG100" i="15" s="1"/>
  <c r="AJ100" i="15"/>
  <c r="AI100" i="15" s="1"/>
  <c r="AL100" i="15"/>
  <c r="AK100" i="15" s="1"/>
  <c r="AN100" i="15"/>
  <c r="AM100" i="15" s="1"/>
  <c r="AP100" i="15"/>
  <c r="AO100" i="15" s="1"/>
  <c r="AE101" i="15"/>
  <c r="AF101" i="15"/>
  <c r="AG101" i="15"/>
  <c r="AH101" i="15"/>
  <c r="AI101" i="15"/>
  <c r="AJ101" i="15"/>
  <c r="AK101" i="15"/>
  <c r="AL101" i="15"/>
  <c r="AM101" i="15"/>
  <c r="AN101" i="15"/>
  <c r="AO101" i="15"/>
  <c r="AP101" i="15"/>
  <c r="AF102" i="15"/>
  <c r="AE102" i="15" s="1"/>
  <c r="AH102" i="15"/>
  <c r="AG102" i="15" s="1"/>
  <c r="AJ102" i="15"/>
  <c r="AI102" i="15" s="1"/>
  <c r="AL102" i="15"/>
  <c r="AK102" i="15" s="1"/>
  <c r="AN102" i="15"/>
  <c r="AM102" i="15" s="1"/>
  <c r="AP102" i="15"/>
  <c r="AO102" i="15" s="1"/>
  <c r="AE103" i="15"/>
  <c r="AF103" i="15"/>
  <c r="AG103" i="15"/>
  <c r="AH103" i="15"/>
  <c r="AI103" i="15"/>
  <c r="AJ103" i="15"/>
  <c r="AK103" i="15"/>
  <c r="AL103" i="15"/>
  <c r="AM103" i="15"/>
  <c r="AN103" i="15"/>
  <c r="AO103" i="15"/>
  <c r="AP103" i="15"/>
  <c r="AF104" i="15"/>
  <c r="AE104" i="15" s="1"/>
  <c r="AH104" i="15"/>
  <c r="AG104" i="15" s="1"/>
  <c r="AJ104" i="15"/>
  <c r="AI104" i="15" s="1"/>
  <c r="AL104" i="15"/>
  <c r="AK104" i="15" s="1"/>
  <c r="AN104" i="15"/>
  <c r="AM104" i="15" s="1"/>
  <c r="AP104" i="15"/>
  <c r="AO104" i="15" s="1"/>
  <c r="AE105" i="15"/>
  <c r="AF105" i="15"/>
  <c r="AG105" i="15"/>
  <c r="AH105" i="15"/>
  <c r="AI105" i="15"/>
  <c r="AJ105" i="15"/>
  <c r="AK105" i="15"/>
  <c r="AL105" i="15"/>
  <c r="AM105" i="15"/>
  <c r="AN105" i="15"/>
  <c r="AO105" i="15"/>
  <c r="AP105" i="15"/>
  <c r="AF106" i="15"/>
  <c r="AE106" i="15" s="1"/>
  <c r="AH106" i="15"/>
  <c r="AG106" i="15" s="1"/>
  <c r="AJ106" i="15"/>
  <c r="AI106" i="15" s="1"/>
  <c r="AL106" i="15"/>
  <c r="AK106" i="15" s="1"/>
  <c r="AN106" i="15"/>
  <c r="AM106" i="15" s="1"/>
  <c r="AP106" i="15"/>
  <c r="AO106" i="15" s="1"/>
  <c r="AE107" i="15"/>
  <c r="AF107" i="15"/>
  <c r="AG107" i="15"/>
  <c r="AH107" i="15"/>
  <c r="AI107" i="15"/>
  <c r="AJ107" i="15"/>
  <c r="AK107" i="15"/>
  <c r="AL107" i="15"/>
  <c r="AM107" i="15"/>
  <c r="AN107" i="15"/>
  <c r="AO107" i="15"/>
  <c r="AP107" i="15"/>
  <c r="AF108" i="15"/>
  <c r="AE108" i="15" s="1"/>
  <c r="AH108" i="15"/>
  <c r="AG108" i="15" s="1"/>
  <c r="AJ108" i="15"/>
  <c r="AI108" i="15" s="1"/>
  <c r="AL108" i="15"/>
  <c r="AK108" i="15" s="1"/>
  <c r="AN108" i="15"/>
  <c r="AM108" i="15" s="1"/>
  <c r="AP108" i="15"/>
  <c r="AO108" i="15" s="1"/>
  <c r="AE109" i="15"/>
  <c r="AF109" i="15"/>
  <c r="AG109" i="15"/>
  <c r="AH109" i="15"/>
  <c r="AI109" i="15"/>
  <c r="AJ109" i="15"/>
  <c r="AK109" i="15"/>
  <c r="AL109" i="15"/>
  <c r="AM109" i="15"/>
  <c r="AN109" i="15"/>
  <c r="AO109" i="15"/>
  <c r="AP109" i="15"/>
  <c r="AF110" i="15"/>
  <c r="AE110" i="15" s="1"/>
  <c r="AH110" i="15"/>
  <c r="AG110" i="15" s="1"/>
  <c r="AJ110" i="15"/>
  <c r="AI110" i="15" s="1"/>
  <c r="AL110" i="15"/>
  <c r="AK110" i="15" s="1"/>
  <c r="AN110" i="15"/>
  <c r="AM110" i="15" s="1"/>
  <c r="AP110" i="15"/>
  <c r="AO110" i="15" s="1"/>
  <c r="AE111" i="15"/>
  <c r="AF111" i="15"/>
  <c r="AG111" i="15"/>
  <c r="AH111" i="15"/>
  <c r="AI111" i="15"/>
  <c r="AJ111" i="15"/>
  <c r="AK111" i="15"/>
  <c r="AL111" i="15"/>
  <c r="AM111" i="15"/>
  <c r="AN111" i="15"/>
  <c r="AO111" i="15"/>
  <c r="AP111" i="15"/>
  <c r="AF112" i="15"/>
  <c r="AE112" i="15" s="1"/>
  <c r="AH112" i="15"/>
  <c r="AG112" i="15" s="1"/>
  <c r="AJ112" i="15"/>
  <c r="AI112" i="15" s="1"/>
  <c r="AL112" i="15"/>
  <c r="AK112" i="15" s="1"/>
  <c r="AN112" i="15"/>
  <c r="AM112" i="15" s="1"/>
  <c r="AP112" i="15"/>
  <c r="AO112" i="15" s="1"/>
  <c r="AE113" i="15"/>
  <c r="AF113" i="15"/>
  <c r="AG113" i="15"/>
  <c r="AH113" i="15"/>
  <c r="AI113" i="15"/>
  <c r="AJ113" i="15"/>
  <c r="AK113" i="15"/>
  <c r="AL113" i="15"/>
  <c r="AM113" i="15"/>
  <c r="AN113" i="15"/>
  <c r="AO113" i="15"/>
  <c r="AP113" i="15"/>
  <c r="AF114" i="15"/>
  <c r="AE114" i="15" s="1"/>
  <c r="AH114" i="15"/>
  <c r="AG114" i="15" s="1"/>
  <c r="AJ114" i="15"/>
  <c r="AI114" i="15" s="1"/>
  <c r="AL114" i="15"/>
  <c r="AK114" i="15" s="1"/>
  <c r="AN114" i="15"/>
  <c r="AM114" i="15" s="1"/>
  <c r="AP114" i="15"/>
  <c r="AO114" i="15" s="1"/>
  <c r="AE115" i="15"/>
  <c r="AF115" i="15"/>
  <c r="AG115" i="15"/>
  <c r="AH115" i="15"/>
  <c r="AI115" i="15"/>
  <c r="AJ115" i="15"/>
  <c r="AK115" i="15"/>
  <c r="AL115" i="15"/>
  <c r="AM115" i="15"/>
  <c r="AN115" i="15"/>
  <c r="AO115" i="15"/>
  <c r="AP115" i="15"/>
  <c r="AF116" i="15"/>
  <c r="AE116" i="15" s="1"/>
  <c r="AH116" i="15"/>
  <c r="AG116" i="15" s="1"/>
  <c r="AJ116" i="15"/>
  <c r="AI116" i="15" s="1"/>
  <c r="AL116" i="15"/>
  <c r="AK116" i="15" s="1"/>
  <c r="AN116" i="15"/>
  <c r="AM116" i="15" s="1"/>
  <c r="AP116" i="15"/>
  <c r="AO116" i="15" s="1"/>
  <c r="AE117" i="15"/>
  <c r="AF117" i="15"/>
  <c r="AG117" i="15"/>
  <c r="AH117" i="15"/>
  <c r="AI117" i="15"/>
  <c r="AJ117" i="15"/>
  <c r="AK117" i="15"/>
  <c r="AL117" i="15"/>
  <c r="AM117" i="15"/>
  <c r="AN117" i="15"/>
  <c r="AO117" i="15"/>
  <c r="AP117" i="15"/>
  <c r="AF118" i="15"/>
  <c r="AE118" i="15" s="1"/>
  <c r="AH118" i="15"/>
  <c r="AG118" i="15" s="1"/>
  <c r="AJ118" i="15"/>
  <c r="AI118" i="15" s="1"/>
  <c r="AL118" i="15"/>
  <c r="AK118" i="15" s="1"/>
  <c r="AN118" i="15"/>
  <c r="AM118" i="15" s="1"/>
  <c r="AP118" i="15"/>
  <c r="AO118" i="15" s="1"/>
  <c r="AE119" i="15"/>
  <c r="AF119" i="15"/>
  <c r="AG119" i="15"/>
  <c r="AH119" i="15"/>
  <c r="AI119" i="15"/>
  <c r="AJ119" i="15"/>
  <c r="AK119" i="15"/>
  <c r="AL119" i="15"/>
  <c r="AM119" i="15"/>
  <c r="AN119" i="15"/>
  <c r="AO119" i="15"/>
  <c r="AP119" i="15"/>
  <c r="AF120" i="15"/>
  <c r="AE120" i="15" s="1"/>
  <c r="AH120" i="15"/>
  <c r="AG120" i="15" s="1"/>
  <c r="AJ120" i="15"/>
  <c r="AI120" i="15" s="1"/>
  <c r="AL120" i="15"/>
  <c r="AK120" i="15" s="1"/>
  <c r="AN120" i="15"/>
  <c r="AM120" i="15" s="1"/>
  <c r="AP120" i="15"/>
  <c r="AO120" i="15" s="1"/>
  <c r="AE121" i="15"/>
  <c r="AF121" i="15"/>
  <c r="AG121" i="15"/>
  <c r="AH121" i="15"/>
  <c r="AI121" i="15"/>
  <c r="AJ121" i="15"/>
  <c r="AK121" i="15"/>
  <c r="AL121" i="15"/>
  <c r="AM121" i="15"/>
  <c r="AN121" i="15"/>
  <c r="AO121" i="15"/>
  <c r="AP121" i="15"/>
  <c r="AF122" i="15"/>
  <c r="AE122" i="15" s="1"/>
  <c r="AH122" i="15"/>
  <c r="AG122" i="15" s="1"/>
  <c r="AJ122" i="15"/>
  <c r="AI122" i="15" s="1"/>
  <c r="AL122" i="15"/>
  <c r="AK122" i="15" s="1"/>
  <c r="AN122" i="15"/>
  <c r="AM122" i="15" s="1"/>
  <c r="AP122" i="15"/>
  <c r="AO122" i="15" s="1"/>
  <c r="AE123" i="15"/>
  <c r="AF123" i="15"/>
  <c r="AG123" i="15"/>
  <c r="AH123" i="15"/>
  <c r="AI123" i="15"/>
  <c r="AJ123" i="15"/>
  <c r="AK123" i="15"/>
  <c r="AL123" i="15"/>
  <c r="AM123" i="15"/>
  <c r="AN123" i="15"/>
  <c r="AO123" i="15"/>
  <c r="AP123" i="15"/>
  <c r="AF124" i="15"/>
  <c r="AE124" i="15" s="1"/>
  <c r="AH124" i="15"/>
  <c r="AG124" i="15" s="1"/>
  <c r="AJ124" i="15"/>
  <c r="AI124" i="15" s="1"/>
  <c r="AL124" i="15"/>
  <c r="AK124" i="15" s="1"/>
  <c r="AN124" i="15"/>
  <c r="AM124" i="15" s="1"/>
  <c r="AP124" i="15"/>
  <c r="AO124" i="15" s="1"/>
  <c r="AE125" i="15"/>
  <c r="AF125" i="15"/>
  <c r="AG125" i="15"/>
  <c r="AH125" i="15"/>
  <c r="AI125" i="15"/>
  <c r="AJ125" i="15"/>
  <c r="AK125" i="15"/>
  <c r="AL125" i="15"/>
  <c r="AM125" i="15"/>
  <c r="AN125" i="15"/>
  <c r="AO125" i="15"/>
  <c r="AP125" i="15"/>
  <c r="AF126" i="15"/>
  <c r="AE126" i="15" s="1"/>
  <c r="AH126" i="15"/>
  <c r="AG126" i="15" s="1"/>
  <c r="AJ126" i="15"/>
  <c r="AI126" i="15" s="1"/>
  <c r="AL126" i="15"/>
  <c r="AK126" i="15" s="1"/>
  <c r="AN126" i="15"/>
  <c r="AM126" i="15" s="1"/>
  <c r="AP126" i="15"/>
  <c r="AO126" i="15" s="1"/>
  <c r="AE127" i="15"/>
  <c r="AF127" i="15"/>
  <c r="AG127" i="15"/>
  <c r="AH127" i="15"/>
  <c r="AI127" i="15"/>
  <c r="AJ127" i="15"/>
  <c r="AK127" i="15"/>
  <c r="AL127" i="15"/>
  <c r="AM127" i="15"/>
  <c r="AN127" i="15"/>
  <c r="AO127" i="15"/>
  <c r="AP127" i="15"/>
  <c r="AF128" i="15"/>
  <c r="AE128" i="15" s="1"/>
  <c r="AH128" i="15"/>
  <c r="AG128" i="15" s="1"/>
  <c r="AJ128" i="15"/>
  <c r="AI128" i="15" s="1"/>
  <c r="AL128" i="15"/>
  <c r="AK128" i="15" s="1"/>
  <c r="AN128" i="15"/>
  <c r="AM128" i="15" s="1"/>
  <c r="AP128" i="15"/>
  <c r="AO128" i="15" s="1"/>
  <c r="AE129" i="15"/>
  <c r="AF129" i="15"/>
  <c r="AG129" i="15"/>
  <c r="AH129" i="15"/>
  <c r="AI129" i="15"/>
  <c r="AJ129" i="15"/>
  <c r="AK129" i="15"/>
  <c r="AL129" i="15"/>
  <c r="AM129" i="15"/>
  <c r="AN129" i="15"/>
  <c r="AO129" i="15"/>
  <c r="AP129" i="15"/>
  <c r="AF130" i="15"/>
  <c r="AE130" i="15" s="1"/>
  <c r="AH130" i="15"/>
  <c r="AG130" i="15" s="1"/>
  <c r="AJ130" i="15"/>
  <c r="AI130" i="15" s="1"/>
  <c r="AL130" i="15"/>
  <c r="AK130" i="15" s="1"/>
  <c r="AN130" i="15"/>
  <c r="AM130" i="15" s="1"/>
  <c r="AP130" i="15"/>
  <c r="AO130" i="15" s="1"/>
  <c r="AE131" i="15"/>
  <c r="AF131" i="15"/>
  <c r="AG131" i="15"/>
  <c r="AH131" i="15"/>
  <c r="AI131" i="15"/>
  <c r="AJ131" i="15"/>
  <c r="AK131" i="15"/>
  <c r="AL131" i="15"/>
  <c r="AM131" i="15"/>
  <c r="AN131" i="15"/>
  <c r="AO131" i="15"/>
  <c r="AP131" i="15"/>
  <c r="AF132" i="15"/>
  <c r="AE132" i="15" s="1"/>
  <c r="AH132" i="15"/>
  <c r="AG132" i="15" s="1"/>
  <c r="AJ132" i="15"/>
  <c r="AI132" i="15" s="1"/>
  <c r="AL132" i="15"/>
  <c r="AK132" i="15" s="1"/>
  <c r="AN132" i="15"/>
  <c r="AM132" i="15" s="1"/>
  <c r="AP132" i="15"/>
  <c r="AO132" i="15" s="1"/>
  <c r="AE133" i="15"/>
  <c r="AF133" i="15"/>
  <c r="AG133" i="15"/>
  <c r="AH133" i="15"/>
  <c r="AI133" i="15"/>
  <c r="AJ133" i="15"/>
  <c r="AK133" i="15"/>
  <c r="AL133" i="15"/>
  <c r="AM133" i="15"/>
  <c r="AN133" i="15"/>
  <c r="AO133" i="15"/>
  <c r="AP133" i="15"/>
  <c r="AF134" i="15"/>
  <c r="AE134" i="15" s="1"/>
  <c r="AH134" i="15"/>
  <c r="AG134" i="15" s="1"/>
  <c r="AJ134" i="15"/>
  <c r="AI134" i="15" s="1"/>
  <c r="AL134" i="15"/>
  <c r="AK134" i="15" s="1"/>
  <c r="AN134" i="15"/>
  <c r="AM134" i="15" s="1"/>
  <c r="AP134" i="15"/>
  <c r="AO134" i="15" s="1"/>
  <c r="AE135" i="15"/>
  <c r="AF135" i="15"/>
  <c r="AG135" i="15"/>
  <c r="AH135" i="15"/>
  <c r="AI135" i="15"/>
  <c r="AJ135" i="15"/>
  <c r="AK135" i="15"/>
  <c r="AL135" i="15"/>
  <c r="AM135" i="15"/>
  <c r="AN135" i="15"/>
  <c r="AO135" i="15"/>
  <c r="AP135" i="15"/>
  <c r="AF136" i="15"/>
  <c r="AE136" i="15" s="1"/>
  <c r="AH136" i="15"/>
  <c r="AG136" i="15" s="1"/>
  <c r="AJ136" i="15"/>
  <c r="AI136" i="15" s="1"/>
  <c r="AL136" i="15"/>
  <c r="AK136" i="15" s="1"/>
  <c r="AN136" i="15"/>
  <c r="AM136" i="15" s="1"/>
  <c r="AP136" i="15"/>
  <c r="AO136" i="15" s="1"/>
  <c r="AE137" i="15"/>
  <c r="AF137" i="15"/>
  <c r="AG137" i="15"/>
  <c r="AH137" i="15"/>
  <c r="AI137" i="15"/>
  <c r="AJ137" i="15"/>
  <c r="AK137" i="15"/>
  <c r="AL137" i="15"/>
  <c r="AM137" i="15"/>
  <c r="AN137" i="15"/>
  <c r="AO137" i="15"/>
  <c r="AP137" i="15"/>
  <c r="AF138" i="15"/>
  <c r="AE138" i="15" s="1"/>
  <c r="AH138" i="15"/>
  <c r="AG138" i="15" s="1"/>
  <c r="AJ138" i="15"/>
  <c r="AI138" i="15" s="1"/>
  <c r="AL138" i="15"/>
  <c r="AK138" i="15" s="1"/>
  <c r="AN138" i="15"/>
  <c r="AM138" i="15" s="1"/>
  <c r="AP138" i="15"/>
  <c r="AO138" i="15" s="1"/>
  <c r="AE139" i="15"/>
  <c r="AF139" i="15"/>
  <c r="AG139" i="15"/>
  <c r="AH139" i="15"/>
  <c r="AI139" i="15"/>
  <c r="AJ139" i="15"/>
  <c r="AK139" i="15"/>
  <c r="AL139" i="15"/>
  <c r="AM139" i="15"/>
  <c r="AN139" i="15"/>
  <c r="AO139" i="15"/>
  <c r="AP139" i="15"/>
  <c r="AF140" i="15"/>
  <c r="AE140" i="15" s="1"/>
  <c r="AH140" i="15"/>
  <c r="AG140" i="15" s="1"/>
  <c r="AJ140" i="15"/>
  <c r="AI140" i="15" s="1"/>
  <c r="AL140" i="15"/>
  <c r="AK140" i="15" s="1"/>
  <c r="AN140" i="15"/>
  <c r="AM140" i="15" s="1"/>
  <c r="AP140" i="15"/>
  <c r="AO140" i="15" s="1"/>
  <c r="AE141" i="15"/>
  <c r="AF141" i="15"/>
  <c r="AG141" i="15"/>
  <c r="AH141" i="15"/>
  <c r="AI141" i="15"/>
  <c r="AJ141" i="15"/>
  <c r="AK141" i="15"/>
  <c r="AL141" i="15"/>
  <c r="AM141" i="15"/>
  <c r="AN141" i="15"/>
  <c r="AO141" i="15"/>
  <c r="AP141" i="15"/>
  <c r="AF142" i="15"/>
  <c r="AE142" i="15" s="1"/>
  <c r="AH142" i="15"/>
  <c r="AG142" i="15" s="1"/>
  <c r="AJ142" i="15"/>
  <c r="AI142" i="15" s="1"/>
  <c r="AL142" i="15"/>
  <c r="AK142" i="15" s="1"/>
  <c r="AN142" i="15"/>
  <c r="AM142" i="15" s="1"/>
  <c r="AP142" i="15"/>
  <c r="AO142" i="15" s="1"/>
  <c r="AE143" i="15"/>
  <c r="AF143" i="15"/>
  <c r="AG143" i="15"/>
  <c r="AH143" i="15"/>
  <c r="AI143" i="15"/>
  <c r="AJ143" i="15"/>
  <c r="AK143" i="15"/>
  <c r="AL143" i="15"/>
  <c r="AM143" i="15"/>
  <c r="AN143" i="15"/>
  <c r="AO143" i="15"/>
  <c r="AP143" i="15"/>
  <c r="AF144" i="15"/>
  <c r="AE144" i="15" s="1"/>
  <c r="AH144" i="15"/>
  <c r="AG144" i="15" s="1"/>
  <c r="AJ144" i="15"/>
  <c r="AI144" i="15" s="1"/>
  <c r="AL144" i="15"/>
  <c r="AK144" i="15" s="1"/>
  <c r="AN144" i="15"/>
  <c r="AM144" i="15" s="1"/>
  <c r="AP144" i="15"/>
  <c r="AO144" i="15" s="1"/>
  <c r="AE145" i="15"/>
  <c r="AF145" i="15"/>
  <c r="AG145" i="15"/>
  <c r="AH145" i="15"/>
  <c r="AI145" i="15"/>
  <c r="AJ145" i="15"/>
  <c r="AK145" i="15"/>
  <c r="AL145" i="15"/>
  <c r="AM145" i="15"/>
  <c r="AN145" i="15"/>
  <c r="AO145" i="15"/>
  <c r="AP145" i="15"/>
  <c r="AF146" i="15"/>
  <c r="AE146" i="15" s="1"/>
  <c r="AH146" i="15"/>
  <c r="AG146" i="15" s="1"/>
  <c r="AJ146" i="15"/>
  <c r="AI146" i="15" s="1"/>
  <c r="AL146" i="15"/>
  <c r="AK146" i="15" s="1"/>
  <c r="AN146" i="15"/>
  <c r="AM146" i="15" s="1"/>
  <c r="AP146" i="15"/>
  <c r="AO146" i="15" s="1"/>
  <c r="AE147" i="15"/>
  <c r="AF147" i="15"/>
  <c r="AG147" i="15"/>
  <c r="AH147" i="15"/>
  <c r="AI147" i="15"/>
  <c r="AJ147" i="15"/>
  <c r="AK147" i="15"/>
  <c r="AL147" i="15"/>
  <c r="AM147" i="15"/>
  <c r="AN147" i="15"/>
  <c r="AO147" i="15"/>
  <c r="AP147" i="15"/>
  <c r="AF148" i="15"/>
  <c r="AE148" i="15" s="1"/>
  <c r="AH148" i="15"/>
  <c r="AG148" i="15" s="1"/>
  <c r="AJ148" i="15"/>
  <c r="AI148" i="15" s="1"/>
  <c r="AL148" i="15"/>
  <c r="AK148" i="15" s="1"/>
  <c r="AN148" i="15"/>
  <c r="AM148" i="15" s="1"/>
  <c r="AP148" i="15"/>
  <c r="AO148" i="15" s="1"/>
  <c r="AE149" i="15"/>
  <c r="AF149" i="15"/>
  <c r="AG149" i="15"/>
  <c r="AH149" i="15"/>
  <c r="AI149" i="15"/>
  <c r="AJ149" i="15"/>
  <c r="AK149" i="15"/>
  <c r="AL149" i="15"/>
  <c r="AM149" i="15"/>
  <c r="AN149" i="15"/>
  <c r="AO149" i="15"/>
  <c r="AP149" i="15"/>
  <c r="AF150" i="15"/>
  <c r="AE150" i="15" s="1"/>
  <c r="AH150" i="15"/>
  <c r="AG150" i="15" s="1"/>
  <c r="AJ150" i="15"/>
  <c r="AI150" i="15" s="1"/>
  <c r="AL150" i="15"/>
  <c r="AK150" i="15" s="1"/>
  <c r="AN150" i="15"/>
  <c r="AM150" i="15" s="1"/>
  <c r="AP150" i="15"/>
  <c r="AO150" i="15" s="1"/>
  <c r="AE151" i="15"/>
  <c r="AF151" i="15"/>
  <c r="AG151" i="15"/>
  <c r="AH151" i="15"/>
  <c r="AI151" i="15"/>
  <c r="AJ151" i="15"/>
  <c r="AK151" i="15"/>
  <c r="AL151" i="15"/>
  <c r="AM151" i="15"/>
  <c r="AN151" i="15"/>
  <c r="AO151" i="15"/>
  <c r="AP151" i="15"/>
  <c r="AF152" i="15"/>
  <c r="AE152" i="15" s="1"/>
  <c r="AH152" i="15"/>
  <c r="AG152" i="15" s="1"/>
  <c r="AJ152" i="15"/>
  <c r="AI152" i="15" s="1"/>
  <c r="AL152" i="15"/>
  <c r="AK152" i="15" s="1"/>
  <c r="AN152" i="15"/>
  <c r="AM152" i="15" s="1"/>
  <c r="AP152" i="15"/>
  <c r="AO152" i="15" s="1"/>
  <c r="AE153" i="15"/>
  <c r="AF153" i="15"/>
  <c r="AG153" i="15"/>
  <c r="AH153" i="15"/>
  <c r="AI153" i="15"/>
  <c r="AJ153" i="15"/>
  <c r="AK153" i="15"/>
  <c r="AL153" i="15"/>
  <c r="AM153" i="15"/>
  <c r="AN153" i="15"/>
  <c r="AO153" i="15"/>
  <c r="AP153" i="15"/>
  <c r="AF154" i="15"/>
  <c r="AE154" i="15" s="1"/>
  <c r="AH154" i="15"/>
  <c r="AG154" i="15" s="1"/>
  <c r="AJ154" i="15"/>
  <c r="AI154" i="15" s="1"/>
  <c r="AL154" i="15"/>
  <c r="AK154" i="15" s="1"/>
  <c r="AN154" i="15"/>
  <c r="AM154" i="15" s="1"/>
  <c r="AP154" i="15"/>
  <c r="AO154" i="15" s="1"/>
  <c r="AE155" i="15"/>
  <c r="AF155" i="15"/>
  <c r="AG155" i="15"/>
  <c r="AH155" i="15"/>
  <c r="AI155" i="15"/>
  <c r="AJ155" i="15"/>
  <c r="AK155" i="15"/>
  <c r="AL155" i="15"/>
  <c r="AM155" i="15"/>
  <c r="AN155" i="15"/>
  <c r="AO155" i="15"/>
  <c r="AP155" i="15"/>
  <c r="AF156" i="15"/>
  <c r="AE156" i="15" s="1"/>
  <c r="AH156" i="15"/>
  <c r="AG156" i="15" s="1"/>
  <c r="AJ156" i="15"/>
  <c r="AI156" i="15" s="1"/>
  <c r="AL156" i="15"/>
  <c r="AK156" i="15" s="1"/>
  <c r="AN156" i="15"/>
  <c r="AM156" i="15" s="1"/>
  <c r="AP156" i="15"/>
  <c r="AO156" i="15" s="1"/>
  <c r="AE157" i="15"/>
  <c r="AF157" i="15"/>
  <c r="AG157" i="15"/>
  <c r="AH157" i="15"/>
  <c r="AI157" i="15"/>
  <c r="AJ157" i="15"/>
  <c r="AK157" i="15"/>
  <c r="AL157" i="15"/>
  <c r="AM157" i="15"/>
  <c r="AN157" i="15"/>
  <c r="AO157" i="15"/>
  <c r="AP157" i="15"/>
  <c r="AF158" i="15"/>
  <c r="AE158" i="15" s="1"/>
  <c r="AH158" i="15"/>
  <c r="AG158" i="15" s="1"/>
  <c r="AJ158" i="15"/>
  <c r="AI158" i="15" s="1"/>
  <c r="AL158" i="15"/>
  <c r="AK158" i="15" s="1"/>
  <c r="AN158" i="15"/>
  <c r="AM158" i="15" s="1"/>
  <c r="AP158" i="15"/>
  <c r="AO158" i="15" s="1"/>
  <c r="AE159" i="15"/>
  <c r="AF159" i="15"/>
  <c r="AG159" i="15"/>
  <c r="AH159" i="15"/>
  <c r="AI159" i="15"/>
  <c r="AJ159" i="15"/>
  <c r="AK159" i="15"/>
  <c r="AL159" i="15"/>
  <c r="AM159" i="15"/>
  <c r="AN159" i="15"/>
  <c r="AO159" i="15"/>
  <c r="AP159" i="15"/>
  <c r="AF160" i="15"/>
  <c r="AE160" i="15" s="1"/>
  <c r="AH160" i="15"/>
  <c r="AG160" i="15" s="1"/>
  <c r="AJ160" i="15"/>
  <c r="AI160" i="15" s="1"/>
  <c r="AL160" i="15"/>
  <c r="AK160" i="15" s="1"/>
  <c r="AN160" i="15"/>
  <c r="AM160" i="15" s="1"/>
  <c r="AP160" i="15"/>
  <c r="AO160" i="15" s="1"/>
  <c r="AE161" i="15"/>
  <c r="AF161" i="15"/>
  <c r="AG161" i="15"/>
  <c r="AH161" i="15"/>
  <c r="AI161" i="15"/>
  <c r="AJ161" i="15"/>
  <c r="AK161" i="15"/>
  <c r="AL161" i="15"/>
  <c r="AM161" i="15"/>
  <c r="AN161" i="15"/>
  <c r="AO161" i="15"/>
  <c r="AP161" i="15"/>
  <c r="AF162" i="15"/>
  <c r="AE162" i="15" s="1"/>
  <c r="AH162" i="15"/>
  <c r="AG162" i="15" s="1"/>
  <c r="AJ162" i="15"/>
  <c r="AI162" i="15" s="1"/>
  <c r="AL162" i="15"/>
  <c r="AK162" i="15" s="1"/>
  <c r="AN162" i="15"/>
  <c r="AM162" i="15" s="1"/>
  <c r="AP162" i="15"/>
  <c r="AO162" i="15" s="1"/>
  <c r="AE163" i="15"/>
  <c r="AF163" i="15"/>
  <c r="AG163" i="15"/>
  <c r="AH163" i="15"/>
  <c r="AI163" i="15"/>
  <c r="AJ163" i="15"/>
  <c r="AK163" i="15"/>
  <c r="AL163" i="15"/>
  <c r="AM163" i="15"/>
  <c r="AN163" i="15"/>
  <c r="AO163" i="15"/>
  <c r="AP163" i="15"/>
  <c r="AF164" i="15"/>
  <c r="AE164" i="15" s="1"/>
  <c r="AH164" i="15"/>
  <c r="AG164" i="15" s="1"/>
  <c r="AJ164" i="15"/>
  <c r="AI164" i="15" s="1"/>
  <c r="AL164" i="15"/>
  <c r="AK164" i="15" s="1"/>
  <c r="AN164" i="15"/>
  <c r="AM164" i="15" s="1"/>
  <c r="AP164" i="15"/>
  <c r="AO164" i="15" s="1"/>
  <c r="AE165" i="15"/>
  <c r="AF165" i="15"/>
  <c r="AG165" i="15"/>
  <c r="AH165" i="15"/>
  <c r="AI165" i="15"/>
  <c r="AJ165" i="15"/>
  <c r="AK165" i="15"/>
  <c r="AL165" i="15"/>
  <c r="AM165" i="15"/>
  <c r="AN165" i="15"/>
  <c r="AO165" i="15"/>
  <c r="AP165" i="15"/>
  <c r="AF166" i="15"/>
  <c r="AE166" i="15" s="1"/>
  <c r="AH166" i="15"/>
  <c r="AG166" i="15" s="1"/>
  <c r="AJ166" i="15"/>
  <c r="AI166" i="15" s="1"/>
  <c r="AL166" i="15"/>
  <c r="AK166" i="15" s="1"/>
  <c r="AN166" i="15"/>
  <c r="AM166" i="15" s="1"/>
  <c r="AP166" i="15"/>
  <c r="AO166" i="15" s="1"/>
  <c r="AE167" i="15"/>
  <c r="AF167" i="15"/>
  <c r="AG167" i="15"/>
  <c r="AH167" i="15"/>
  <c r="AI167" i="15"/>
  <c r="AJ167" i="15"/>
  <c r="AK167" i="15"/>
  <c r="AL167" i="15"/>
  <c r="AM167" i="15"/>
  <c r="AN167" i="15"/>
  <c r="AO167" i="15"/>
  <c r="AP167" i="15"/>
  <c r="AF168" i="15"/>
  <c r="AE168" i="15" s="1"/>
  <c r="AH168" i="15"/>
  <c r="AG168" i="15" s="1"/>
  <c r="AJ168" i="15"/>
  <c r="AI168" i="15" s="1"/>
  <c r="AL168" i="15"/>
  <c r="AK168" i="15" s="1"/>
  <c r="AN168" i="15"/>
  <c r="AM168" i="15" s="1"/>
  <c r="AP168" i="15"/>
  <c r="AO168" i="15" s="1"/>
  <c r="AE169" i="15"/>
  <c r="AF169" i="15"/>
  <c r="AG169" i="15"/>
  <c r="AH169" i="15"/>
  <c r="AI169" i="15"/>
  <c r="AJ169" i="15"/>
  <c r="AK169" i="15"/>
  <c r="AL169" i="15"/>
  <c r="AM169" i="15"/>
  <c r="AN169" i="15"/>
  <c r="AO169" i="15"/>
  <c r="AP169" i="15"/>
  <c r="AF170" i="15"/>
  <c r="AE170" i="15" s="1"/>
  <c r="AH170" i="15"/>
  <c r="AG170" i="15" s="1"/>
  <c r="AJ170" i="15"/>
  <c r="AI170" i="15" s="1"/>
  <c r="AL170" i="15"/>
  <c r="AK170" i="15" s="1"/>
  <c r="AN170" i="15"/>
  <c r="AM170" i="15" s="1"/>
  <c r="AP170" i="15"/>
  <c r="AO170" i="15" s="1"/>
  <c r="AE171" i="15"/>
  <c r="AF171" i="15"/>
  <c r="AG171" i="15"/>
  <c r="AH171" i="15"/>
  <c r="AI171" i="15"/>
  <c r="AJ171" i="15"/>
  <c r="AK171" i="15"/>
  <c r="AL171" i="15"/>
  <c r="AM171" i="15"/>
  <c r="AN171" i="15"/>
  <c r="AO171" i="15"/>
  <c r="AP171" i="15"/>
  <c r="AF172" i="15"/>
  <c r="AE172" i="15" s="1"/>
  <c r="AH172" i="15"/>
  <c r="AG172" i="15" s="1"/>
  <c r="AJ172" i="15"/>
  <c r="AI172" i="15" s="1"/>
  <c r="AL172" i="15"/>
  <c r="AK172" i="15" s="1"/>
  <c r="AN172" i="15"/>
  <c r="AM172" i="15" s="1"/>
  <c r="AP172" i="15"/>
  <c r="AO172" i="15" s="1"/>
  <c r="AE173" i="15"/>
  <c r="AF173" i="15"/>
  <c r="AG173" i="15"/>
  <c r="AH173" i="15"/>
  <c r="AI173" i="15"/>
  <c r="AJ173" i="15"/>
  <c r="AK173" i="15"/>
  <c r="AL173" i="15"/>
  <c r="AM173" i="15"/>
  <c r="AN173" i="15"/>
  <c r="AO173" i="15"/>
  <c r="AP173" i="15"/>
  <c r="AF174" i="15"/>
  <c r="AE174" i="15" s="1"/>
  <c r="AH174" i="15"/>
  <c r="AG174" i="15" s="1"/>
  <c r="AJ174" i="15"/>
  <c r="AI174" i="15" s="1"/>
  <c r="AL174" i="15"/>
  <c r="AK174" i="15" s="1"/>
  <c r="AN174" i="15"/>
  <c r="AM174" i="15" s="1"/>
  <c r="AP174" i="15"/>
  <c r="AO174" i="15" s="1"/>
  <c r="AE175" i="15"/>
  <c r="AF175" i="15"/>
  <c r="AG175" i="15"/>
  <c r="AH175" i="15"/>
  <c r="AI175" i="15"/>
  <c r="AJ175" i="15"/>
  <c r="AK175" i="15"/>
  <c r="AL175" i="15"/>
  <c r="AM175" i="15"/>
  <c r="AN175" i="15"/>
  <c r="AO175" i="15"/>
  <c r="AP175" i="15"/>
  <c r="AF176" i="15"/>
  <c r="AE176" i="15" s="1"/>
  <c r="AH176" i="15"/>
  <c r="AG176" i="15" s="1"/>
  <c r="AJ176" i="15"/>
  <c r="AI176" i="15" s="1"/>
  <c r="AL176" i="15"/>
  <c r="AK176" i="15" s="1"/>
  <c r="AN176" i="15"/>
  <c r="AM176" i="15" s="1"/>
  <c r="AP176" i="15"/>
  <c r="AO176" i="15" s="1"/>
  <c r="AE177" i="15"/>
  <c r="AF177" i="15"/>
  <c r="AG177" i="15"/>
  <c r="AH177" i="15"/>
  <c r="AI177" i="15"/>
  <c r="AJ177" i="15"/>
  <c r="AK177" i="15"/>
  <c r="AL177" i="15"/>
  <c r="AM177" i="15"/>
  <c r="AN177" i="15"/>
  <c r="AO177" i="15"/>
  <c r="AP177" i="15"/>
  <c r="AF178" i="15"/>
  <c r="AE178" i="15" s="1"/>
  <c r="AH178" i="15"/>
  <c r="AG178" i="15" s="1"/>
  <c r="AI178" i="15"/>
  <c r="AJ178" i="15"/>
  <c r="AK178" i="15"/>
  <c r="AL178" i="15"/>
  <c r="AM178" i="15"/>
  <c r="AN178" i="15"/>
  <c r="AO178" i="15"/>
  <c r="AP178" i="15"/>
  <c r="AF179" i="15"/>
  <c r="AE179" i="15" s="1"/>
  <c r="AH179" i="15"/>
  <c r="AG179" i="15" s="1"/>
  <c r="AJ179" i="15"/>
  <c r="AI179" i="15" s="1"/>
  <c r="AL179" i="15"/>
  <c r="AK179" i="15" s="1"/>
  <c r="AN179" i="15"/>
  <c r="AM179" i="15" s="1"/>
  <c r="AP179" i="15"/>
  <c r="AO179" i="15" s="1"/>
  <c r="AE180" i="15"/>
  <c r="AF180" i="15"/>
  <c r="AG180" i="15"/>
  <c r="AH180" i="15"/>
  <c r="AI180" i="15"/>
  <c r="AJ180" i="15"/>
  <c r="AK180" i="15"/>
  <c r="AL180" i="15"/>
  <c r="AM180" i="15"/>
  <c r="AN180" i="15"/>
  <c r="AO180" i="15"/>
  <c r="AP180" i="15"/>
  <c r="AF181" i="15"/>
  <c r="AE181" i="15" s="1"/>
  <c r="AH181" i="15"/>
  <c r="AG181" i="15" s="1"/>
  <c r="AJ181" i="15"/>
  <c r="AI181" i="15" s="1"/>
  <c r="AL181" i="15"/>
  <c r="AK181" i="15" s="1"/>
  <c r="AN181" i="15"/>
  <c r="AM181" i="15" s="1"/>
  <c r="AP181" i="15"/>
  <c r="AO181" i="15" s="1"/>
  <c r="AE182" i="15"/>
  <c r="AF182" i="15"/>
  <c r="AG182" i="15"/>
  <c r="AH182" i="15"/>
  <c r="AI182" i="15"/>
  <c r="AJ182" i="15"/>
  <c r="AK182" i="15"/>
  <c r="AL182" i="15"/>
  <c r="AM182" i="15"/>
  <c r="AN182" i="15"/>
  <c r="AO182" i="15"/>
  <c r="AP182" i="15"/>
  <c r="AF183" i="15"/>
  <c r="AE183" i="15" s="1"/>
  <c r="AH183" i="15"/>
  <c r="AG183" i="15" s="1"/>
  <c r="AJ183" i="15"/>
  <c r="AI183" i="15" s="1"/>
  <c r="AL183" i="15"/>
  <c r="AK183" i="15" s="1"/>
  <c r="AN183" i="15"/>
  <c r="AM183" i="15" s="1"/>
  <c r="AP183" i="15"/>
  <c r="AO183" i="15" s="1"/>
  <c r="AE184" i="15"/>
  <c r="AF184" i="15"/>
  <c r="AG184" i="15"/>
  <c r="AH184" i="15"/>
  <c r="AI184" i="15"/>
  <c r="AJ184" i="15"/>
  <c r="AK184" i="15"/>
  <c r="AL184" i="15"/>
  <c r="AM184" i="15"/>
  <c r="AN184" i="15"/>
  <c r="AO184" i="15"/>
  <c r="AP184" i="15"/>
  <c r="AF185" i="15"/>
  <c r="AE185" i="15" s="1"/>
  <c r="AH185" i="15"/>
  <c r="AG185" i="15" s="1"/>
  <c r="AJ185" i="15"/>
  <c r="AI185" i="15" s="1"/>
  <c r="AL185" i="15"/>
  <c r="AK185" i="15" s="1"/>
  <c r="AN185" i="15"/>
  <c r="AM185" i="15" s="1"/>
  <c r="AP185" i="15"/>
  <c r="AO185" i="15" s="1"/>
  <c r="AE186" i="15"/>
  <c r="AF186" i="15"/>
  <c r="AG186" i="15"/>
  <c r="AH186" i="15"/>
  <c r="AI186" i="15"/>
  <c r="AJ186" i="15"/>
  <c r="AK186" i="15"/>
  <c r="AL186" i="15"/>
  <c r="AM186" i="15"/>
  <c r="AN186" i="15"/>
  <c r="AO186" i="15"/>
  <c r="AP186" i="15"/>
  <c r="AF187" i="15"/>
  <c r="AE187" i="15" s="1"/>
  <c r="AH187" i="15"/>
  <c r="AG187" i="15" s="1"/>
  <c r="AJ187" i="15"/>
  <c r="AI187" i="15" s="1"/>
  <c r="AL187" i="15"/>
  <c r="AK187" i="15" s="1"/>
  <c r="AN187" i="15"/>
  <c r="AM187" i="15" s="1"/>
  <c r="AP187" i="15"/>
  <c r="AO187" i="15" s="1"/>
  <c r="AE188" i="15"/>
  <c r="AF188" i="15"/>
  <c r="AG188" i="15"/>
  <c r="AH188" i="15"/>
  <c r="AI188" i="15"/>
  <c r="AJ188" i="15"/>
  <c r="AK188" i="15"/>
  <c r="AL188" i="15"/>
  <c r="AM188" i="15"/>
  <c r="AN188" i="15"/>
  <c r="AO188" i="15"/>
  <c r="AP188" i="15"/>
  <c r="AF189" i="15"/>
  <c r="AE189" i="15" s="1"/>
  <c r="AH189" i="15"/>
  <c r="AG189" i="15" s="1"/>
  <c r="AJ189" i="15"/>
  <c r="AI189" i="15" s="1"/>
  <c r="AL189" i="15"/>
  <c r="AK189" i="15" s="1"/>
  <c r="AN189" i="15"/>
  <c r="AM189" i="15" s="1"/>
  <c r="AP189" i="15"/>
  <c r="AO189" i="15" s="1"/>
  <c r="AE190" i="15"/>
  <c r="AF190" i="15"/>
  <c r="AG190" i="15"/>
  <c r="AH190" i="15"/>
  <c r="AI190" i="15"/>
  <c r="AJ190" i="15"/>
  <c r="AK190" i="15"/>
  <c r="AL190" i="15"/>
  <c r="AM190" i="15"/>
  <c r="AN190" i="15"/>
  <c r="AO190" i="15"/>
  <c r="AP190" i="15"/>
  <c r="AF191" i="15"/>
  <c r="AE191" i="15" s="1"/>
  <c r="AH191" i="15"/>
  <c r="AG191" i="15" s="1"/>
  <c r="AJ191" i="15"/>
  <c r="AI191" i="15" s="1"/>
  <c r="AL191" i="15"/>
  <c r="AK191" i="15" s="1"/>
  <c r="AN191" i="15"/>
  <c r="AM191" i="15" s="1"/>
  <c r="AP191" i="15"/>
  <c r="AO191" i="15" s="1"/>
  <c r="AE192" i="15"/>
  <c r="AF192" i="15"/>
  <c r="AG192" i="15"/>
  <c r="AH192" i="15"/>
  <c r="AI192" i="15"/>
  <c r="AJ192" i="15"/>
  <c r="AK192" i="15"/>
  <c r="AL192" i="15"/>
  <c r="AM192" i="15"/>
  <c r="AN192" i="15"/>
  <c r="AO192" i="15"/>
  <c r="AP192" i="15"/>
  <c r="AF193" i="15"/>
  <c r="AE193" i="15" s="1"/>
  <c r="AH193" i="15"/>
  <c r="AG193" i="15" s="1"/>
  <c r="AJ193" i="15"/>
  <c r="AI193" i="15" s="1"/>
  <c r="AL193" i="15"/>
  <c r="AK193" i="15" s="1"/>
  <c r="AN193" i="15"/>
  <c r="AM193" i="15" s="1"/>
  <c r="AP193" i="15"/>
  <c r="AO193" i="15" s="1"/>
  <c r="AF194" i="15"/>
  <c r="AE194" i="15" s="1"/>
  <c r="AH194" i="15"/>
  <c r="AG194" i="15" s="1"/>
  <c r="AJ194" i="15"/>
  <c r="AI194" i="15" s="1"/>
  <c r="AL194" i="15"/>
  <c r="AK194" i="15" s="1"/>
  <c r="AN194" i="15"/>
  <c r="AM194" i="15" s="1"/>
  <c r="AP194" i="15"/>
  <c r="AO194" i="15" s="1"/>
  <c r="AE195" i="15"/>
  <c r="AF195" i="15"/>
  <c r="AG195" i="15"/>
  <c r="AH195" i="15"/>
  <c r="AI195" i="15"/>
  <c r="AJ195" i="15"/>
  <c r="AK195" i="15"/>
  <c r="AL195" i="15"/>
  <c r="AM195" i="15"/>
  <c r="AN195" i="15"/>
  <c r="AO195" i="15"/>
  <c r="AP195" i="15"/>
  <c r="AF196" i="15"/>
  <c r="AE196" i="15" s="1"/>
  <c r="AH196" i="15"/>
  <c r="AG196" i="15" s="1"/>
  <c r="AJ196" i="15"/>
  <c r="AI196" i="15" s="1"/>
  <c r="AL196" i="15"/>
  <c r="AK196" i="15" s="1"/>
  <c r="AN196" i="15"/>
  <c r="AM196" i="15" s="1"/>
  <c r="AP196" i="15"/>
  <c r="AO196" i="15" s="1"/>
  <c r="AE197" i="15"/>
  <c r="AF197" i="15"/>
  <c r="AG197" i="15"/>
  <c r="AH197" i="15"/>
  <c r="AI197" i="15"/>
  <c r="AJ197" i="15"/>
  <c r="AK197" i="15"/>
  <c r="AL197" i="15"/>
  <c r="AM197" i="15"/>
  <c r="AN197" i="15"/>
  <c r="AO197" i="15"/>
  <c r="AP197" i="15"/>
  <c r="AF198" i="15"/>
  <c r="AE198" i="15" s="1"/>
  <c r="AH198" i="15"/>
  <c r="AG198" i="15" s="1"/>
  <c r="AJ198" i="15"/>
  <c r="AI198" i="15" s="1"/>
  <c r="AL198" i="15"/>
  <c r="AK198" i="15" s="1"/>
  <c r="AN198" i="15"/>
  <c r="AM198" i="15" s="1"/>
  <c r="AP198" i="15"/>
  <c r="AO198" i="15" s="1"/>
  <c r="AE199" i="15"/>
  <c r="AF199" i="15"/>
  <c r="AG199" i="15"/>
  <c r="AH199" i="15"/>
  <c r="AI199" i="15"/>
  <c r="AJ199" i="15"/>
  <c r="AK199" i="15"/>
  <c r="AL199" i="15"/>
  <c r="AM199" i="15"/>
  <c r="AN199" i="15"/>
  <c r="AO199" i="15"/>
  <c r="AP199" i="15"/>
  <c r="AF200" i="15"/>
  <c r="AE200" i="15" s="1"/>
  <c r="AH200" i="15"/>
  <c r="AG200" i="15" s="1"/>
  <c r="AJ200" i="15"/>
  <c r="AI200" i="15" s="1"/>
  <c r="AL200" i="15"/>
  <c r="AK200" i="15" s="1"/>
  <c r="AN200" i="15"/>
  <c r="AM200" i="15" s="1"/>
  <c r="AP200" i="15"/>
  <c r="AO200" i="15" s="1"/>
  <c r="AE201" i="15"/>
  <c r="AF201" i="15"/>
  <c r="AG201" i="15"/>
  <c r="AH201" i="15"/>
  <c r="AI201" i="15"/>
  <c r="AJ201" i="15"/>
  <c r="AK201" i="15"/>
  <c r="AL201" i="15"/>
  <c r="AM201" i="15"/>
  <c r="AN201" i="15"/>
  <c r="AO201" i="15"/>
  <c r="AP201" i="15"/>
  <c r="AF202" i="15"/>
  <c r="AE202" i="15" s="1"/>
  <c r="AH202" i="15"/>
  <c r="AG202" i="15" s="1"/>
  <c r="AJ202" i="15"/>
  <c r="AI202" i="15" s="1"/>
  <c r="AL202" i="15"/>
  <c r="AK202" i="15" s="1"/>
  <c r="AN202" i="15"/>
  <c r="AM202" i="15" s="1"/>
  <c r="AP202" i="15"/>
  <c r="AO202" i="15" s="1"/>
  <c r="AE203" i="15"/>
  <c r="AF203" i="15"/>
  <c r="AG203" i="15"/>
  <c r="AH203" i="15"/>
  <c r="AI203" i="15"/>
  <c r="AJ203" i="15"/>
  <c r="AK203" i="15"/>
  <c r="AL203" i="15"/>
  <c r="AM203" i="15"/>
  <c r="AN203" i="15"/>
  <c r="AO203" i="15"/>
  <c r="AP203" i="15"/>
  <c r="AF204" i="15"/>
  <c r="AE204" i="15" s="1"/>
  <c r="AH204" i="15"/>
  <c r="AG204" i="15" s="1"/>
  <c r="AJ204" i="15"/>
  <c r="AI204" i="15" s="1"/>
  <c r="AL204" i="15"/>
  <c r="AK204" i="15" s="1"/>
  <c r="AN204" i="15"/>
  <c r="AM204" i="15" s="1"/>
  <c r="AP204" i="15"/>
  <c r="AO204" i="15" s="1"/>
  <c r="AE205" i="15"/>
  <c r="AF205" i="15"/>
  <c r="AG205" i="15"/>
  <c r="AH205" i="15"/>
  <c r="AI205" i="15"/>
  <c r="AJ205" i="15"/>
  <c r="AK205" i="15"/>
  <c r="AL205" i="15"/>
  <c r="AM205" i="15"/>
  <c r="AN205" i="15"/>
  <c r="AO205" i="15"/>
  <c r="AP205" i="15"/>
  <c r="AF206" i="15"/>
  <c r="AE206" i="15" s="1"/>
  <c r="AH206" i="15"/>
  <c r="AG206" i="15" s="1"/>
  <c r="AJ206" i="15"/>
  <c r="AI206" i="15" s="1"/>
  <c r="AL206" i="15"/>
  <c r="AK206" i="15" s="1"/>
  <c r="AN206" i="15"/>
  <c r="AM206" i="15" s="1"/>
  <c r="AP206" i="15"/>
  <c r="AO206" i="15" s="1"/>
  <c r="AE207" i="15"/>
  <c r="AF207" i="15"/>
  <c r="AG207" i="15"/>
  <c r="AH207" i="15"/>
  <c r="AI207" i="15"/>
  <c r="AJ207" i="15"/>
  <c r="AK207" i="15"/>
  <c r="AL207" i="15"/>
  <c r="AM207" i="15"/>
  <c r="AN207" i="15"/>
  <c r="AO207" i="15"/>
  <c r="AP207" i="15"/>
  <c r="AF208" i="15"/>
  <c r="AE208" i="15" s="1"/>
  <c r="AH208" i="15"/>
  <c r="AG208" i="15" s="1"/>
  <c r="AJ208" i="15"/>
  <c r="AI208" i="15" s="1"/>
  <c r="AL208" i="15"/>
  <c r="AK208" i="15" s="1"/>
  <c r="AN208" i="15"/>
  <c r="AM208" i="15" s="1"/>
  <c r="AP208" i="15"/>
  <c r="AO208" i="15" s="1"/>
  <c r="AE209" i="15"/>
  <c r="AF209" i="15"/>
  <c r="AG209" i="15"/>
  <c r="AH209" i="15"/>
  <c r="AI209" i="15"/>
  <c r="AJ209" i="15"/>
  <c r="AK209" i="15"/>
  <c r="AL209" i="15"/>
  <c r="AM209" i="15"/>
  <c r="AN209" i="15"/>
  <c r="AO209" i="15"/>
  <c r="AP209" i="15"/>
  <c r="AF210" i="15"/>
  <c r="AE210" i="15" s="1"/>
  <c r="AH210" i="15"/>
  <c r="AG210" i="15" s="1"/>
  <c r="AJ210" i="15"/>
  <c r="AI210" i="15" s="1"/>
  <c r="AL210" i="15"/>
  <c r="AK210" i="15" s="1"/>
  <c r="AN210" i="15"/>
  <c r="AM210" i="15" s="1"/>
  <c r="AP210" i="15"/>
  <c r="AO210" i="15" s="1"/>
  <c r="AE211" i="15"/>
  <c r="AF211" i="15"/>
  <c r="AG211" i="15"/>
  <c r="AH211" i="15"/>
  <c r="AI211" i="15"/>
  <c r="AJ211" i="15"/>
  <c r="AK211" i="15"/>
  <c r="AL211" i="15"/>
  <c r="AM211" i="15"/>
  <c r="AN211" i="15"/>
  <c r="AO211" i="15"/>
  <c r="AP211" i="15"/>
  <c r="AF212" i="15"/>
  <c r="AE212" i="15" s="1"/>
  <c r="AH212" i="15"/>
  <c r="AG212" i="15" s="1"/>
  <c r="AJ212" i="15"/>
  <c r="AI212" i="15" s="1"/>
  <c r="AL212" i="15"/>
  <c r="AK212" i="15" s="1"/>
  <c r="AN212" i="15"/>
  <c r="AM212" i="15" s="1"/>
  <c r="AP212" i="15"/>
  <c r="AO212" i="15" s="1"/>
  <c r="AE213" i="15"/>
  <c r="AF213" i="15"/>
  <c r="AG213" i="15"/>
  <c r="AH213" i="15"/>
  <c r="AI213" i="15"/>
  <c r="AJ213" i="15"/>
  <c r="AK213" i="15"/>
  <c r="AL213" i="15"/>
  <c r="AM213" i="15"/>
  <c r="AN213" i="15"/>
  <c r="AO213" i="15"/>
  <c r="AP213" i="15"/>
  <c r="AF214" i="15"/>
  <c r="AE214" i="15" s="1"/>
  <c r="AH214" i="15"/>
  <c r="AG214" i="15" s="1"/>
  <c r="AJ214" i="15"/>
  <c r="AI214" i="15" s="1"/>
  <c r="AL214" i="15"/>
  <c r="AK214" i="15" s="1"/>
  <c r="AN214" i="15"/>
  <c r="AM214" i="15" s="1"/>
  <c r="AP214" i="15"/>
  <c r="AO214" i="15" s="1"/>
  <c r="AE215" i="15"/>
  <c r="AF215" i="15"/>
  <c r="AG215" i="15"/>
  <c r="AH215" i="15"/>
  <c r="AI215" i="15"/>
  <c r="AJ215" i="15"/>
  <c r="AK215" i="15"/>
  <c r="AL215" i="15"/>
  <c r="AM215" i="15"/>
  <c r="AN215" i="15"/>
  <c r="AO215" i="15"/>
  <c r="AP215" i="15"/>
  <c r="AF216" i="15"/>
  <c r="AE216" i="15" s="1"/>
  <c r="AH216" i="15"/>
  <c r="AG216" i="15" s="1"/>
  <c r="AJ216" i="15"/>
  <c r="AI216" i="15" s="1"/>
  <c r="AL216" i="15"/>
  <c r="AK216" i="15" s="1"/>
  <c r="AN216" i="15"/>
  <c r="AM216" i="15" s="1"/>
  <c r="AP216" i="15"/>
  <c r="AO216" i="15" s="1"/>
  <c r="AE217" i="15"/>
  <c r="AF217" i="15"/>
  <c r="AG217" i="15"/>
  <c r="AH217" i="15"/>
  <c r="AI217" i="15"/>
  <c r="AJ217" i="15"/>
  <c r="AK217" i="15"/>
  <c r="AL217" i="15"/>
  <c r="AM217" i="15"/>
  <c r="AN217" i="15"/>
  <c r="AO217" i="15"/>
  <c r="AP217" i="15"/>
  <c r="AF218" i="15"/>
  <c r="AE218" i="15" s="1"/>
  <c r="AH218" i="15"/>
  <c r="AG218" i="15" s="1"/>
  <c r="AJ218" i="15"/>
  <c r="AI218" i="15" s="1"/>
  <c r="AL218" i="15"/>
  <c r="AK218" i="15" s="1"/>
  <c r="AN218" i="15"/>
  <c r="AM218" i="15" s="1"/>
  <c r="AP218" i="15"/>
  <c r="AO218" i="15" s="1"/>
  <c r="AE219" i="15"/>
  <c r="AF219" i="15"/>
  <c r="AG219" i="15"/>
  <c r="AH219" i="15"/>
  <c r="AI219" i="15"/>
  <c r="AJ219" i="15"/>
  <c r="AK219" i="15"/>
  <c r="AL219" i="15"/>
  <c r="AM219" i="15"/>
  <c r="AN219" i="15"/>
  <c r="AO219" i="15"/>
  <c r="AP219" i="15"/>
  <c r="AF220" i="15"/>
  <c r="AE220" i="15" s="1"/>
  <c r="AH220" i="15"/>
  <c r="AG220" i="15" s="1"/>
  <c r="AJ220" i="15"/>
  <c r="AI220" i="15" s="1"/>
  <c r="AL220" i="15"/>
  <c r="AK220" i="15" s="1"/>
  <c r="AN220" i="15"/>
  <c r="AM220" i="15" s="1"/>
  <c r="AP220" i="15"/>
  <c r="AO220" i="15" s="1"/>
  <c r="AE221" i="15"/>
  <c r="AF221" i="15"/>
  <c r="AG221" i="15"/>
  <c r="AH221" i="15"/>
  <c r="AI221" i="15"/>
  <c r="AJ221" i="15"/>
  <c r="AK221" i="15"/>
  <c r="AL221" i="15"/>
  <c r="AM221" i="15"/>
  <c r="AN221" i="15"/>
  <c r="AO221" i="15"/>
  <c r="AP221" i="15"/>
  <c r="AF222" i="15"/>
  <c r="AE222" i="15" s="1"/>
  <c r="AH222" i="15"/>
  <c r="AG222" i="15" s="1"/>
  <c r="AJ222" i="15"/>
  <c r="AI222" i="15" s="1"/>
  <c r="AL222" i="15"/>
  <c r="AK222" i="15" s="1"/>
  <c r="AN222" i="15"/>
  <c r="AM222" i="15" s="1"/>
  <c r="AP222" i="15"/>
  <c r="AO222" i="15" s="1"/>
  <c r="AE223" i="15"/>
  <c r="AF223" i="15"/>
  <c r="AG223" i="15"/>
  <c r="AH223" i="15"/>
  <c r="AI223" i="15"/>
  <c r="AJ223" i="15"/>
  <c r="AK223" i="15"/>
  <c r="AL223" i="15"/>
  <c r="AM223" i="15"/>
  <c r="AN223" i="15"/>
  <c r="AO223" i="15"/>
  <c r="AP223" i="15"/>
  <c r="AF224" i="15"/>
  <c r="AE224" i="15" s="1"/>
  <c r="AH224" i="15"/>
  <c r="AG224" i="15" s="1"/>
  <c r="AJ224" i="15"/>
  <c r="AI224" i="15" s="1"/>
  <c r="AL224" i="15"/>
  <c r="AK224" i="15" s="1"/>
  <c r="AN224" i="15"/>
  <c r="AM224" i="15" s="1"/>
  <c r="AP224" i="15"/>
  <c r="AO224" i="15" s="1"/>
  <c r="AE225" i="15"/>
  <c r="AF225" i="15"/>
  <c r="AG225" i="15"/>
  <c r="AH225" i="15"/>
  <c r="AI225" i="15"/>
  <c r="AJ225" i="15"/>
  <c r="AK225" i="15"/>
  <c r="AL225" i="15"/>
  <c r="AM225" i="15"/>
  <c r="AN225" i="15"/>
  <c r="AO225" i="15"/>
  <c r="AP225" i="15"/>
  <c r="AF226" i="15"/>
  <c r="AE226" i="15" s="1"/>
  <c r="AH226" i="15"/>
  <c r="AG226" i="15" s="1"/>
  <c r="AJ226" i="15"/>
  <c r="AI226" i="15" s="1"/>
  <c r="AL226" i="15"/>
  <c r="AK226" i="15" s="1"/>
  <c r="AN226" i="15"/>
  <c r="AM226" i="15" s="1"/>
  <c r="AP226" i="15"/>
  <c r="AO226" i="15" s="1"/>
  <c r="AE227" i="15"/>
  <c r="AF227" i="15"/>
  <c r="AG227" i="15"/>
  <c r="AH227" i="15"/>
  <c r="AI227" i="15"/>
  <c r="AJ227" i="15"/>
  <c r="AK227" i="15"/>
  <c r="AL227" i="15"/>
  <c r="AM227" i="15"/>
  <c r="AN227" i="15"/>
  <c r="AO227" i="15"/>
  <c r="AP227" i="15"/>
  <c r="AF228" i="15"/>
  <c r="AE228" i="15" s="1"/>
  <c r="AH228" i="15"/>
  <c r="AG228" i="15" s="1"/>
  <c r="AJ228" i="15"/>
  <c r="AI228" i="15" s="1"/>
  <c r="AL228" i="15"/>
  <c r="AK228" i="15" s="1"/>
  <c r="AN228" i="15"/>
  <c r="AM228" i="15" s="1"/>
  <c r="AP228" i="15"/>
  <c r="AO228" i="15" s="1"/>
  <c r="AE229" i="15"/>
  <c r="AF229" i="15"/>
  <c r="AG229" i="15"/>
  <c r="AH229" i="15"/>
  <c r="AI229" i="15"/>
  <c r="AJ229" i="15"/>
  <c r="AK229" i="15"/>
  <c r="AL229" i="15"/>
  <c r="AM229" i="15"/>
  <c r="AN229" i="15"/>
  <c r="AO229" i="15"/>
  <c r="AP229" i="15"/>
  <c r="AF230" i="15"/>
  <c r="AE230" i="15" s="1"/>
  <c r="AH230" i="15"/>
  <c r="AG230" i="15" s="1"/>
  <c r="AJ230" i="15"/>
  <c r="AI230" i="15" s="1"/>
  <c r="AL230" i="15"/>
  <c r="AK230" i="15" s="1"/>
  <c r="AN230" i="15"/>
  <c r="AM230" i="15" s="1"/>
  <c r="AP230" i="15"/>
  <c r="AO230" i="15" s="1"/>
  <c r="AE231" i="15"/>
  <c r="AF231" i="15"/>
  <c r="AG231" i="15"/>
  <c r="AH231" i="15"/>
  <c r="AI231" i="15"/>
  <c r="AJ231" i="15"/>
  <c r="AK231" i="15"/>
  <c r="AL231" i="15"/>
  <c r="AM231" i="15"/>
  <c r="AN231" i="15"/>
  <c r="AO231" i="15"/>
  <c r="AP231" i="15"/>
  <c r="AF232" i="15"/>
  <c r="AE232" i="15" s="1"/>
  <c r="AH232" i="15"/>
  <c r="AG232" i="15" s="1"/>
  <c r="AJ232" i="15"/>
  <c r="AI232" i="15" s="1"/>
  <c r="AL232" i="15"/>
  <c r="AK232" i="15" s="1"/>
  <c r="AN232" i="15"/>
  <c r="AM232" i="15" s="1"/>
  <c r="AP232" i="15"/>
  <c r="AO232" i="15" s="1"/>
  <c r="AE233" i="15"/>
  <c r="AF233" i="15"/>
  <c r="AG233" i="15"/>
  <c r="AH233" i="15"/>
  <c r="AI233" i="15"/>
  <c r="AJ233" i="15"/>
  <c r="AK233" i="15"/>
  <c r="AL233" i="15"/>
  <c r="AM233" i="15"/>
  <c r="AN233" i="15"/>
  <c r="AO233" i="15"/>
  <c r="AP233" i="15"/>
  <c r="AF234" i="15"/>
  <c r="AE234" i="15" s="1"/>
  <c r="AH234" i="15"/>
  <c r="AG234" i="15" s="1"/>
  <c r="AJ234" i="15"/>
  <c r="AI234" i="15" s="1"/>
  <c r="AL234" i="15"/>
  <c r="AK234" i="15" s="1"/>
  <c r="AN234" i="15"/>
  <c r="AM234" i="15" s="1"/>
  <c r="AP234" i="15"/>
  <c r="AO234" i="15" s="1"/>
  <c r="AE235" i="15"/>
  <c r="AF235" i="15"/>
  <c r="AG235" i="15"/>
  <c r="AH235" i="15"/>
  <c r="AI235" i="15"/>
  <c r="AJ235" i="15"/>
  <c r="AK235" i="15"/>
  <c r="AL235" i="15"/>
  <c r="AM235" i="15"/>
  <c r="AN235" i="15"/>
  <c r="AO235" i="15"/>
  <c r="AP235" i="15"/>
  <c r="AF236" i="15"/>
  <c r="AE236" i="15" s="1"/>
  <c r="AH236" i="15"/>
  <c r="AG236" i="15" s="1"/>
  <c r="AJ236" i="15"/>
  <c r="AI236" i="15" s="1"/>
  <c r="AL236" i="15"/>
  <c r="AK236" i="15" s="1"/>
  <c r="AN236" i="15"/>
  <c r="AM236" i="15" s="1"/>
  <c r="AP236" i="15"/>
  <c r="AO236" i="15" s="1"/>
  <c r="AE237" i="15"/>
  <c r="AF237" i="15"/>
  <c r="AG237" i="15"/>
  <c r="AH237" i="15"/>
  <c r="AI237" i="15"/>
  <c r="AJ237" i="15"/>
  <c r="AK237" i="15"/>
  <c r="AL237" i="15"/>
  <c r="AM237" i="15"/>
  <c r="AN237" i="15"/>
  <c r="AO237" i="15"/>
  <c r="AP237" i="15"/>
  <c r="AF238" i="15"/>
  <c r="AE238" i="15" s="1"/>
  <c r="AH238" i="15"/>
  <c r="AG238" i="15" s="1"/>
  <c r="AJ238" i="15"/>
  <c r="AI238" i="15" s="1"/>
  <c r="AL238" i="15"/>
  <c r="AK238" i="15" s="1"/>
  <c r="AN238" i="15"/>
  <c r="AM238" i="15" s="1"/>
  <c r="AP238" i="15"/>
  <c r="AO238" i="15" s="1"/>
  <c r="AE239" i="15"/>
  <c r="AF239" i="15"/>
  <c r="AG239" i="15"/>
  <c r="AH239" i="15"/>
  <c r="AI239" i="15"/>
  <c r="AJ239" i="15"/>
  <c r="AK239" i="15"/>
  <c r="AL239" i="15"/>
  <c r="AM239" i="15"/>
  <c r="AN239" i="15"/>
  <c r="AO239" i="15"/>
  <c r="AP239" i="15"/>
  <c r="AF240" i="15"/>
  <c r="AE240" i="15" s="1"/>
  <c r="AH240" i="15"/>
  <c r="AG240" i="15" s="1"/>
  <c r="AJ240" i="15"/>
  <c r="AI240" i="15" s="1"/>
  <c r="AL240" i="15"/>
  <c r="AK240" i="15" s="1"/>
  <c r="AN240" i="15"/>
  <c r="AM240" i="15" s="1"/>
  <c r="AP240" i="15"/>
  <c r="AO240" i="15" s="1"/>
  <c r="AE241" i="15"/>
  <c r="AF241" i="15"/>
  <c r="AG241" i="15"/>
  <c r="AH241" i="15"/>
  <c r="AI241" i="15"/>
  <c r="AJ241" i="15"/>
  <c r="AK241" i="15"/>
  <c r="AL241" i="15"/>
  <c r="AM241" i="15"/>
  <c r="AN241" i="15"/>
  <c r="AO241" i="15"/>
  <c r="AP241" i="15"/>
  <c r="AF242" i="15"/>
  <c r="AE242" i="15" s="1"/>
  <c r="AH242" i="15"/>
  <c r="AG242" i="15" s="1"/>
  <c r="AJ242" i="15"/>
  <c r="AI242" i="15" s="1"/>
  <c r="AL242" i="15"/>
  <c r="AK242" i="15" s="1"/>
  <c r="AN242" i="15"/>
  <c r="AM242" i="15" s="1"/>
  <c r="AP242" i="15"/>
  <c r="AO242" i="15" s="1"/>
  <c r="AE243" i="15"/>
  <c r="AF243" i="15"/>
  <c r="AG243" i="15"/>
  <c r="AH243" i="15"/>
  <c r="AI243" i="15"/>
  <c r="AJ243" i="15"/>
  <c r="AK243" i="15"/>
  <c r="AL243" i="15"/>
  <c r="AM243" i="15"/>
  <c r="AN243" i="15"/>
  <c r="AO243" i="15"/>
  <c r="AP243" i="15"/>
  <c r="AF244" i="15"/>
  <c r="AE244" i="15" s="1"/>
  <c r="AH244" i="15"/>
  <c r="AG244" i="15" s="1"/>
  <c r="AJ244" i="15"/>
  <c r="AI244" i="15" s="1"/>
  <c r="AL244" i="15"/>
  <c r="AK244" i="15" s="1"/>
  <c r="AN244" i="15"/>
  <c r="AM244" i="15" s="1"/>
  <c r="AP244" i="15"/>
  <c r="AO244" i="15" s="1"/>
  <c r="AE245" i="15"/>
  <c r="AF245" i="15"/>
  <c r="AG245" i="15"/>
  <c r="AH245" i="15"/>
  <c r="AI245" i="15"/>
  <c r="AJ245" i="15"/>
  <c r="AK245" i="15"/>
  <c r="AL245" i="15"/>
  <c r="AM245" i="15"/>
  <c r="AN245" i="15"/>
  <c r="AO245" i="15"/>
  <c r="AP245" i="15"/>
  <c r="AF246" i="15"/>
  <c r="AE246" i="15" s="1"/>
  <c r="AH246" i="15"/>
  <c r="AG246" i="15" s="1"/>
  <c r="AJ246" i="15"/>
  <c r="AI246" i="15" s="1"/>
  <c r="AL246" i="15"/>
  <c r="AK246" i="15" s="1"/>
  <c r="AN246" i="15"/>
  <c r="AM246" i="15" s="1"/>
  <c r="AP246" i="15"/>
  <c r="AO246" i="15" s="1"/>
  <c r="AE247" i="15"/>
  <c r="AF247" i="15"/>
  <c r="AG247" i="15"/>
  <c r="AH247" i="15"/>
  <c r="AI247" i="15"/>
  <c r="AJ247" i="15"/>
  <c r="AK247" i="15"/>
  <c r="AL247" i="15"/>
  <c r="AM247" i="15"/>
  <c r="AN247" i="15"/>
  <c r="AO247" i="15"/>
  <c r="AP247" i="15"/>
  <c r="AF248" i="15"/>
  <c r="AE248" i="15" s="1"/>
  <c r="AH248" i="15"/>
  <c r="AG248" i="15" s="1"/>
  <c r="AJ248" i="15"/>
  <c r="AI248" i="15" s="1"/>
  <c r="AL248" i="15"/>
  <c r="AK248" i="15" s="1"/>
  <c r="AN248" i="15"/>
  <c r="AM248" i="15" s="1"/>
  <c r="AP248" i="15"/>
  <c r="AO248" i="15" s="1"/>
  <c r="AE249" i="15"/>
  <c r="AF249" i="15"/>
  <c r="AG249" i="15"/>
  <c r="AH249" i="15"/>
  <c r="AI249" i="15"/>
  <c r="AJ249" i="15"/>
  <c r="AK249" i="15"/>
  <c r="AL249" i="15"/>
  <c r="AM249" i="15"/>
  <c r="AN249" i="15"/>
  <c r="AO249" i="15"/>
  <c r="AP249" i="15"/>
  <c r="AF250" i="15"/>
  <c r="AE250" i="15" s="1"/>
  <c r="AH250" i="15"/>
  <c r="AG250" i="15" s="1"/>
  <c r="AJ250" i="15"/>
  <c r="AI250" i="15" s="1"/>
  <c r="AL250" i="15"/>
  <c r="AK250" i="15" s="1"/>
  <c r="AN250" i="15"/>
  <c r="AM250" i="15" s="1"/>
  <c r="AP250" i="15"/>
  <c r="AO250" i="15" s="1"/>
  <c r="AE251" i="15"/>
  <c r="AF251" i="15"/>
  <c r="AG251" i="15"/>
  <c r="AH251" i="15"/>
  <c r="AI251" i="15"/>
  <c r="AJ251" i="15"/>
  <c r="AK251" i="15"/>
  <c r="AL251" i="15"/>
  <c r="AM251" i="15"/>
  <c r="AN251" i="15"/>
  <c r="AO251" i="15"/>
  <c r="AP251" i="15"/>
  <c r="AF252" i="15"/>
  <c r="AE252" i="15" s="1"/>
  <c r="AH252" i="15"/>
  <c r="AG252" i="15" s="1"/>
  <c r="AJ252" i="15"/>
  <c r="AI252" i="15" s="1"/>
  <c r="AL252" i="15"/>
  <c r="AK252" i="15" s="1"/>
  <c r="AN252" i="15"/>
  <c r="AM252" i="15" s="1"/>
  <c r="AP252" i="15"/>
  <c r="AO252" i="15" s="1"/>
  <c r="AE253" i="15"/>
  <c r="AF253" i="15"/>
  <c r="AG253" i="15"/>
  <c r="AH253" i="15"/>
  <c r="AI253" i="15"/>
  <c r="AJ253" i="15"/>
  <c r="AK253" i="15"/>
  <c r="AL253" i="15"/>
  <c r="AM253" i="15"/>
  <c r="AN253" i="15"/>
  <c r="AO253" i="15"/>
  <c r="AP253" i="15"/>
  <c r="AF254" i="15"/>
  <c r="AE254" i="15" s="1"/>
  <c r="AH254" i="15"/>
  <c r="AG254" i="15" s="1"/>
  <c r="AJ254" i="15"/>
  <c r="AI254" i="15" s="1"/>
  <c r="AL254" i="15"/>
  <c r="AK254" i="15" s="1"/>
  <c r="AN254" i="15"/>
  <c r="AM254" i="15" s="1"/>
  <c r="AP254" i="15"/>
  <c r="AO254" i="15" s="1"/>
  <c r="AE255" i="15"/>
  <c r="AF255" i="15"/>
  <c r="AG255" i="15"/>
  <c r="AH255" i="15"/>
  <c r="AI255" i="15"/>
  <c r="AJ255" i="15"/>
  <c r="AK255" i="15"/>
  <c r="AL255" i="15"/>
  <c r="AM255" i="15"/>
  <c r="AN255" i="15"/>
  <c r="AO255" i="15"/>
  <c r="AP255" i="15"/>
  <c r="AF256" i="15"/>
  <c r="AE256" i="15" s="1"/>
  <c r="AH256" i="15"/>
  <c r="AG256" i="15" s="1"/>
  <c r="AJ256" i="15"/>
  <c r="AI256" i="15" s="1"/>
  <c r="AL256" i="15"/>
  <c r="AK256" i="15" s="1"/>
  <c r="AN256" i="15"/>
  <c r="AM256" i="15" s="1"/>
  <c r="AP256" i="15"/>
  <c r="AO256" i="15" s="1"/>
  <c r="AE257" i="15"/>
  <c r="AF257" i="15"/>
  <c r="AG257" i="15"/>
  <c r="AH257" i="15"/>
  <c r="AI257" i="15"/>
  <c r="AJ257" i="15"/>
  <c r="AK257" i="15"/>
  <c r="AL257" i="15"/>
  <c r="AM257" i="15"/>
  <c r="AN257" i="15"/>
  <c r="AO257" i="15"/>
  <c r="AP257" i="15"/>
  <c r="AF258" i="15"/>
  <c r="AE258" i="15" s="1"/>
  <c r="AH258" i="15"/>
  <c r="AG258" i="15" s="1"/>
  <c r="AJ258" i="15"/>
  <c r="AI258" i="15" s="1"/>
  <c r="AL258" i="15"/>
  <c r="AK258" i="15" s="1"/>
  <c r="AN258" i="15"/>
  <c r="AM258" i="15" s="1"/>
  <c r="AP258" i="15"/>
  <c r="AO258" i="15" s="1"/>
  <c r="AE259" i="15"/>
  <c r="AF259" i="15"/>
  <c r="AG259" i="15"/>
  <c r="AH259" i="15"/>
  <c r="AI259" i="15"/>
  <c r="AJ259" i="15"/>
  <c r="AK259" i="15"/>
  <c r="AL259" i="15"/>
  <c r="AM259" i="15"/>
  <c r="AN259" i="15"/>
  <c r="AO259" i="15"/>
  <c r="AP259" i="15"/>
  <c r="AF260" i="15"/>
  <c r="AE260" i="15" s="1"/>
  <c r="AH260" i="15"/>
  <c r="AG260" i="15" s="1"/>
  <c r="AJ260" i="15"/>
  <c r="AI260" i="15" s="1"/>
  <c r="AL260" i="15"/>
  <c r="AK260" i="15" s="1"/>
  <c r="AN260" i="15"/>
  <c r="AM260" i="15" s="1"/>
  <c r="AP260" i="15"/>
  <c r="AO260" i="15" s="1"/>
  <c r="AE261" i="15"/>
  <c r="AF261" i="15"/>
  <c r="AG261" i="15"/>
  <c r="AH261" i="15"/>
  <c r="AI261" i="15"/>
  <c r="AJ261" i="15"/>
  <c r="AK261" i="15"/>
  <c r="AL261" i="15"/>
  <c r="AM261" i="15"/>
  <c r="AN261" i="15"/>
  <c r="AO261" i="15"/>
  <c r="AP261" i="15"/>
  <c r="AF262" i="15"/>
  <c r="AE262" i="15" s="1"/>
  <c r="AH262" i="15"/>
  <c r="AG262" i="15" s="1"/>
  <c r="AJ262" i="15"/>
  <c r="AI262" i="15" s="1"/>
  <c r="AL262" i="15"/>
  <c r="AK262" i="15" s="1"/>
  <c r="AN262" i="15"/>
  <c r="AM262" i="15" s="1"/>
  <c r="AP262" i="15"/>
  <c r="AO262" i="15" s="1"/>
  <c r="AE263" i="15"/>
  <c r="AF263" i="15"/>
  <c r="AG263" i="15"/>
  <c r="AH263" i="15"/>
  <c r="AI263" i="15"/>
  <c r="AJ263" i="15"/>
  <c r="AK263" i="15"/>
  <c r="AL263" i="15"/>
  <c r="AM263" i="15"/>
  <c r="AN263" i="15"/>
  <c r="AO263" i="15"/>
  <c r="AP263" i="15"/>
  <c r="AF264" i="15"/>
  <c r="AE264" i="15" s="1"/>
  <c r="AH264" i="15"/>
  <c r="AG264" i="15" s="1"/>
  <c r="AJ264" i="15"/>
  <c r="AI264" i="15" s="1"/>
  <c r="AL264" i="15"/>
  <c r="AK264" i="15" s="1"/>
  <c r="AN264" i="15"/>
  <c r="AM264" i="15" s="1"/>
  <c r="AP264" i="15"/>
  <c r="AO264" i="15" s="1"/>
  <c r="AE265" i="15"/>
  <c r="AF265" i="15"/>
  <c r="AG265" i="15"/>
  <c r="AH265" i="15"/>
  <c r="AI265" i="15"/>
  <c r="AJ265" i="15"/>
  <c r="AK265" i="15"/>
  <c r="AL265" i="15"/>
  <c r="AM265" i="15"/>
  <c r="AN265" i="15"/>
  <c r="AO265" i="15"/>
  <c r="AP265" i="15"/>
  <c r="AF266" i="15"/>
  <c r="AE266" i="15" s="1"/>
  <c r="AH266" i="15"/>
  <c r="AG266" i="15" s="1"/>
  <c r="AJ266" i="15"/>
  <c r="AI266" i="15" s="1"/>
  <c r="AL266" i="15"/>
  <c r="AK266" i="15" s="1"/>
  <c r="AN266" i="15"/>
  <c r="AM266" i="15" s="1"/>
  <c r="AP266" i="15"/>
  <c r="AO266" i="15" s="1"/>
  <c r="AE267" i="15"/>
  <c r="AF267" i="15"/>
  <c r="AG267" i="15"/>
  <c r="AH267" i="15"/>
  <c r="AI267" i="15"/>
  <c r="AJ267" i="15"/>
  <c r="AK267" i="15"/>
  <c r="AL267" i="15"/>
  <c r="AM267" i="15"/>
  <c r="AN267" i="15"/>
  <c r="AO267" i="15"/>
  <c r="AP267" i="15"/>
  <c r="AF268" i="15"/>
  <c r="AE268" i="15" s="1"/>
  <c r="AH268" i="15"/>
  <c r="AG268" i="15" s="1"/>
  <c r="AJ268" i="15"/>
  <c r="AI268" i="15" s="1"/>
  <c r="AL268" i="15"/>
  <c r="AK268" i="15" s="1"/>
  <c r="AN268" i="15"/>
  <c r="AM268" i="15" s="1"/>
  <c r="AP268" i="15"/>
  <c r="AO268" i="15" s="1"/>
  <c r="AE269" i="15"/>
  <c r="AF269" i="15"/>
  <c r="AG269" i="15"/>
  <c r="AH269" i="15"/>
  <c r="AI269" i="15"/>
  <c r="AJ269" i="15"/>
  <c r="AK269" i="15"/>
  <c r="AL269" i="15"/>
  <c r="AM269" i="15"/>
  <c r="AN269" i="15"/>
  <c r="AO269" i="15"/>
  <c r="AP269" i="15"/>
  <c r="AF270" i="15"/>
  <c r="AE270" i="15" s="1"/>
  <c r="AH270" i="15"/>
  <c r="AG270" i="15" s="1"/>
  <c r="AJ270" i="15"/>
  <c r="AI270" i="15" s="1"/>
  <c r="AL270" i="15"/>
  <c r="AK270" i="15" s="1"/>
  <c r="AN270" i="15"/>
  <c r="AM270" i="15" s="1"/>
  <c r="AP270" i="15"/>
  <c r="AO270" i="15" s="1"/>
  <c r="AE271" i="15"/>
  <c r="AF271" i="15"/>
  <c r="AG271" i="15"/>
  <c r="AH271" i="15"/>
  <c r="AI271" i="15"/>
  <c r="AJ271" i="15"/>
  <c r="AK271" i="15"/>
  <c r="AL271" i="15"/>
  <c r="AM271" i="15"/>
  <c r="AN271" i="15"/>
  <c r="AO271" i="15"/>
  <c r="AP271" i="15"/>
  <c r="AF272" i="15"/>
  <c r="AE272" i="15" s="1"/>
  <c r="AH272" i="15"/>
  <c r="AG272" i="15" s="1"/>
  <c r="AJ272" i="15"/>
  <c r="AI272" i="15" s="1"/>
  <c r="AL272" i="15"/>
  <c r="AK272" i="15" s="1"/>
  <c r="AN272" i="15"/>
  <c r="AM272" i="15" s="1"/>
  <c r="AP272" i="15"/>
  <c r="AO272" i="15" s="1"/>
  <c r="AE273" i="15"/>
  <c r="AF273" i="15"/>
  <c r="AG273" i="15"/>
  <c r="AH273" i="15"/>
  <c r="AI273" i="15"/>
  <c r="AJ273" i="15"/>
  <c r="AK273" i="15"/>
  <c r="AL273" i="15"/>
  <c r="AM273" i="15"/>
  <c r="AN273" i="15"/>
  <c r="AO273" i="15"/>
  <c r="AP273" i="15"/>
  <c r="AF274" i="15"/>
  <c r="AE274" i="15" s="1"/>
  <c r="AH274" i="15"/>
  <c r="AG274" i="15" s="1"/>
  <c r="AJ274" i="15"/>
  <c r="AI274" i="15" s="1"/>
  <c r="AL274" i="15"/>
  <c r="AK274" i="15" s="1"/>
  <c r="AN274" i="15"/>
  <c r="AM274" i="15" s="1"/>
  <c r="AP274" i="15"/>
  <c r="AO274" i="15" s="1"/>
  <c r="AE275" i="15"/>
  <c r="AF275" i="15"/>
  <c r="AG275" i="15"/>
  <c r="AH275" i="15"/>
  <c r="AI275" i="15"/>
  <c r="AJ275" i="15"/>
  <c r="AK275" i="15"/>
  <c r="AL275" i="15"/>
  <c r="AM275" i="15"/>
  <c r="AN275" i="15"/>
  <c r="AO275" i="15"/>
  <c r="AP275" i="15"/>
  <c r="AF276" i="15"/>
  <c r="AE276" i="15" s="1"/>
  <c r="AH276" i="15"/>
  <c r="AG276" i="15" s="1"/>
  <c r="AJ276" i="15"/>
  <c r="AI276" i="15" s="1"/>
  <c r="AL276" i="15"/>
  <c r="AK276" i="15" s="1"/>
  <c r="AN276" i="15"/>
  <c r="AM276" i="15" s="1"/>
  <c r="AP276" i="15"/>
  <c r="AO276" i="15" s="1"/>
  <c r="AE277" i="15"/>
  <c r="AF277" i="15"/>
  <c r="AG277" i="15"/>
  <c r="AH277" i="15"/>
  <c r="AI277" i="15"/>
  <c r="AJ277" i="15"/>
  <c r="AK277" i="15"/>
  <c r="AL277" i="15"/>
  <c r="AM277" i="15"/>
  <c r="AN277" i="15"/>
  <c r="AO277" i="15"/>
  <c r="AP277" i="15"/>
  <c r="AF278" i="15"/>
  <c r="AE278" i="15" s="1"/>
  <c r="AH278" i="15"/>
  <c r="AG278" i="15" s="1"/>
  <c r="AJ278" i="15"/>
  <c r="AI278" i="15" s="1"/>
  <c r="AL278" i="15"/>
  <c r="AK278" i="15" s="1"/>
  <c r="AN278" i="15"/>
  <c r="AM278" i="15" s="1"/>
  <c r="AP278" i="15"/>
  <c r="AO278" i="15" s="1"/>
  <c r="AE279" i="15"/>
  <c r="AF279" i="15"/>
  <c r="AG279" i="15"/>
  <c r="AH279" i="15"/>
  <c r="AI279" i="15"/>
  <c r="AJ279" i="15"/>
  <c r="AK279" i="15"/>
  <c r="AL279" i="15"/>
  <c r="AM279" i="15"/>
  <c r="AN279" i="15"/>
  <c r="AO279" i="15"/>
  <c r="AP279" i="15"/>
  <c r="AF280" i="15"/>
  <c r="AE280" i="15" s="1"/>
  <c r="AH280" i="15"/>
  <c r="AG280" i="15" s="1"/>
  <c r="AJ280" i="15"/>
  <c r="AI280" i="15" s="1"/>
  <c r="AL280" i="15"/>
  <c r="AK280" i="15" s="1"/>
  <c r="AN280" i="15"/>
  <c r="AM280" i="15" s="1"/>
  <c r="AP280" i="15"/>
  <c r="AO280" i="15" s="1"/>
  <c r="AE281" i="15"/>
  <c r="AF281" i="15"/>
  <c r="AG281" i="15"/>
  <c r="AH281" i="15"/>
  <c r="AI281" i="15"/>
  <c r="AJ281" i="15"/>
  <c r="AK281" i="15"/>
  <c r="AL281" i="15"/>
  <c r="AM281" i="15"/>
  <c r="AN281" i="15"/>
  <c r="AO281" i="15"/>
  <c r="AP281" i="15"/>
  <c r="AF282" i="15"/>
  <c r="AE282" i="15" s="1"/>
  <c r="AH282" i="15"/>
  <c r="AG282" i="15" s="1"/>
  <c r="AJ282" i="15"/>
  <c r="AI282" i="15" s="1"/>
  <c r="AL282" i="15"/>
  <c r="AK282" i="15" s="1"/>
  <c r="AN282" i="15"/>
  <c r="AM282" i="15" s="1"/>
  <c r="AP282" i="15"/>
  <c r="AO282" i="15" s="1"/>
  <c r="AE283" i="15"/>
  <c r="AF283" i="15"/>
  <c r="AG283" i="15"/>
  <c r="AH283" i="15"/>
  <c r="AI283" i="15"/>
  <c r="AJ283" i="15"/>
  <c r="AK283" i="15"/>
  <c r="AL283" i="15"/>
  <c r="AM283" i="15"/>
  <c r="AN283" i="15"/>
  <c r="AO283" i="15"/>
  <c r="AP283" i="15"/>
  <c r="AF284" i="15"/>
  <c r="AE284" i="15" s="1"/>
  <c r="AH284" i="15"/>
  <c r="AG284" i="15" s="1"/>
  <c r="AJ284" i="15"/>
  <c r="AI284" i="15" s="1"/>
  <c r="AL284" i="15"/>
  <c r="AK284" i="15" s="1"/>
  <c r="AN284" i="15"/>
  <c r="AM284" i="15" s="1"/>
  <c r="AP284" i="15"/>
  <c r="AO284" i="15" s="1"/>
  <c r="AE285" i="15"/>
  <c r="AF285" i="15"/>
  <c r="AG285" i="15"/>
  <c r="AH285" i="15"/>
  <c r="AI285" i="15"/>
  <c r="AJ285" i="15"/>
  <c r="AK285" i="15"/>
  <c r="AL285" i="15"/>
  <c r="AM285" i="15"/>
  <c r="AN285" i="15"/>
  <c r="AO285" i="15"/>
  <c r="AP285" i="15"/>
  <c r="AF286" i="15"/>
  <c r="AE286" i="15" s="1"/>
  <c r="AH286" i="15"/>
  <c r="AG286" i="15" s="1"/>
  <c r="AJ286" i="15"/>
  <c r="AI286" i="15" s="1"/>
  <c r="AL286" i="15"/>
  <c r="AK286" i="15" s="1"/>
  <c r="AN286" i="15"/>
  <c r="AM286" i="15" s="1"/>
  <c r="AP286" i="15"/>
  <c r="AO286" i="15" s="1"/>
  <c r="AE287" i="15"/>
  <c r="AF287" i="15"/>
  <c r="AG287" i="15"/>
  <c r="AH287" i="15"/>
  <c r="AI287" i="15"/>
  <c r="AJ287" i="15"/>
  <c r="AK287" i="15"/>
  <c r="AL287" i="15"/>
  <c r="AM287" i="15"/>
  <c r="AN287" i="15"/>
  <c r="AO287" i="15"/>
  <c r="AP287" i="15"/>
  <c r="AF288" i="15"/>
  <c r="AE288" i="15" s="1"/>
  <c r="AH288" i="15"/>
  <c r="AG288" i="15" s="1"/>
  <c r="AJ288" i="15"/>
  <c r="AI288" i="15" s="1"/>
  <c r="AL288" i="15"/>
  <c r="AK288" i="15" s="1"/>
  <c r="AN288" i="15"/>
  <c r="AM288" i="15" s="1"/>
  <c r="AP288" i="15"/>
  <c r="AO288" i="15" s="1"/>
  <c r="AE289" i="15"/>
  <c r="AF289" i="15"/>
  <c r="AG289" i="15"/>
  <c r="AH289" i="15"/>
  <c r="AI289" i="15"/>
  <c r="AJ289" i="15"/>
  <c r="AK289" i="15"/>
  <c r="AL289" i="15"/>
  <c r="AM289" i="15"/>
  <c r="AN289" i="15"/>
  <c r="AO289" i="15"/>
  <c r="AP289" i="15"/>
  <c r="AF290" i="15"/>
  <c r="AE290" i="15" s="1"/>
  <c r="AH290" i="15"/>
  <c r="AG290" i="15" s="1"/>
  <c r="AJ290" i="15"/>
  <c r="AI290" i="15" s="1"/>
  <c r="AL290" i="15"/>
  <c r="AK290" i="15" s="1"/>
  <c r="AN290" i="15"/>
  <c r="AM290" i="15" s="1"/>
  <c r="AP290" i="15"/>
  <c r="AO290" i="15" s="1"/>
  <c r="AE291" i="15"/>
  <c r="AF291" i="15"/>
  <c r="AG291" i="15"/>
  <c r="AH291" i="15"/>
  <c r="AI291" i="15"/>
  <c r="AJ291" i="15"/>
  <c r="AK291" i="15"/>
  <c r="AL291" i="15"/>
  <c r="AM291" i="15"/>
  <c r="AN291" i="15"/>
  <c r="AO291" i="15"/>
  <c r="AP291" i="15"/>
  <c r="AF292" i="15"/>
  <c r="AE292" i="15" s="1"/>
  <c r="AH292" i="15"/>
  <c r="AG292" i="15" s="1"/>
  <c r="AJ292" i="15"/>
  <c r="AI292" i="15" s="1"/>
  <c r="AL292" i="15"/>
  <c r="AK292" i="15" s="1"/>
  <c r="AN292" i="15"/>
  <c r="AM292" i="15" s="1"/>
  <c r="AP292" i="15"/>
  <c r="AO292" i="15" s="1"/>
  <c r="AE293" i="15"/>
  <c r="AF293" i="15"/>
  <c r="AG293" i="15"/>
  <c r="AH293" i="15"/>
  <c r="AI293" i="15"/>
  <c r="AJ293" i="15"/>
  <c r="AK293" i="15"/>
  <c r="AL293" i="15"/>
  <c r="AM293" i="15"/>
  <c r="AN293" i="15"/>
  <c r="AO293" i="15"/>
  <c r="AP293" i="15"/>
  <c r="AF294" i="15"/>
  <c r="AE294" i="15" s="1"/>
  <c r="AH294" i="15"/>
  <c r="AG294" i="15" s="1"/>
  <c r="AJ294" i="15"/>
  <c r="AI294" i="15" s="1"/>
  <c r="AL294" i="15"/>
  <c r="AK294" i="15" s="1"/>
  <c r="AN294" i="15"/>
  <c r="AM294" i="15" s="1"/>
  <c r="AP294" i="15"/>
  <c r="AO294" i="15" s="1"/>
  <c r="AE295" i="15"/>
  <c r="AF295" i="15"/>
  <c r="AG295" i="15"/>
  <c r="AH295" i="15"/>
  <c r="AI295" i="15"/>
  <c r="AJ295" i="15"/>
  <c r="AK295" i="15"/>
  <c r="AL295" i="15"/>
  <c r="AM295" i="15"/>
  <c r="AN295" i="15"/>
  <c r="AO295" i="15"/>
  <c r="AP295" i="15"/>
  <c r="AF296" i="15"/>
  <c r="AE296" i="15" s="1"/>
  <c r="AH296" i="15"/>
  <c r="AG296" i="15" s="1"/>
  <c r="AJ296" i="15"/>
  <c r="AI296" i="15" s="1"/>
  <c r="AL296" i="15"/>
  <c r="AK296" i="15" s="1"/>
  <c r="AN296" i="15"/>
  <c r="AM296" i="15" s="1"/>
  <c r="AP296" i="15"/>
  <c r="AO296" i="15" s="1"/>
  <c r="AE297" i="15"/>
  <c r="AF297" i="15"/>
  <c r="AG297" i="15"/>
  <c r="AH297" i="15"/>
  <c r="AI297" i="15"/>
  <c r="AJ297" i="15"/>
  <c r="AK297" i="15"/>
  <c r="AL297" i="15"/>
  <c r="AM297" i="15"/>
  <c r="AN297" i="15"/>
  <c r="AO297" i="15"/>
  <c r="AP297" i="15"/>
  <c r="C309" i="11"/>
  <c r="V18" i="5"/>
  <c r="AM18" i="5"/>
  <c r="V20" i="5"/>
  <c r="AM20" i="5"/>
  <c r="V32" i="5"/>
  <c r="AM32" i="5"/>
  <c r="V50" i="5"/>
  <c r="AM50" i="5"/>
  <c r="V51" i="5"/>
  <c r="AM51" i="5"/>
  <c r="V52" i="5"/>
  <c r="AM52" i="5"/>
  <c r="AP18" i="19"/>
  <c r="AO18" i="19" s="1"/>
  <c r="AN18" i="19"/>
  <c r="AM18" i="19" s="1"/>
  <c r="AL18" i="19"/>
  <c r="AK18" i="19" s="1"/>
  <c r="AJ18" i="19"/>
  <c r="AI18" i="19" s="1"/>
  <c r="AH18" i="19"/>
  <c r="AF18" i="19"/>
  <c r="AP17" i="19"/>
  <c r="AO17" i="19"/>
  <c r="AN17" i="19"/>
  <c r="AM17" i="19"/>
  <c r="AL17" i="19"/>
  <c r="AK17" i="19"/>
  <c r="AJ17" i="19"/>
  <c r="AI17" i="19"/>
  <c r="AH17" i="19"/>
  <c r="AF17" i="19"/>
  <c r="AP16" i="19"/>
  <c r="AO16" i="19" s="1"/>
  <c r="AN16" i="19"/>
  <c r="AM16" i="19" s="1"/>
  <c r="AL16" i="19"/>
  <c r="AK16" i="19" s="1"/>
  <c r="AJ16" i="19"/>
  <c r="AI16" i="19" s="1"/>
  <c r="AH16" i="19"/>
  <c r="AF16" i="19"/>
  <c r="AP15" i="19"/>
  <c r="AO15" i="19"/>
  <c r="AN15" i="19"/>
  <c r="AM15" i="19"/>
  <c r="AL15" i="19"/>
  <c r="AK15" i="19"/>
  <c r="AJ15" i="19"/>
  <c r="AI15" i="19"/>
  <c r="AH15" i="19"/>
  <c r="AF15" i="19"/>
  <c r="AP14" i="19"/>
  <c r="AO14" i="19" s="1"/>
  <c r="AN14" i="19"/>
  <c r="AM14" i="19" s="1"/>
  <c r="AL14" i="19"/>
  <c r="AK14" i="19" s="1"/>
  <c r="AJ14" i="19"/>
  <c r="AI14" i="19" s="1"/>
  <c r="AH14" i="19"/>
  <c r="AF14" i="19"/>
  <c r="AP13" i="19"/>
  <c r="AO13" i="19"/>
  <c r="AN13" i="19"/>
  <c r="AM13" i="19"/>
  <c r="AL13" i="19"/>
  <c r="AK13" i="19"/>
  <c r="AJ13" i="19"/>
  <c r="AI13" i="19"/>
  <c r="AH13" i="19"/>
  <c r="AF13" i="19"/>
  <c r="AP12" i="19"/>
  <c r="AO12" i="19" s="1"/>
  <c r="AN12" i="19"/>
  <c r="AM12" i="19" s="1"/>
  <c r="AL12" i="19"/>
  <c r="AK12" i="19" s="1"/>
  <c r="AJ12" i="19"/>
  <c r="AI12" i="19" s="1"/>
  <c r="AH12" i="19"/>
  <c r="AF12" i="19"/>
  <c r="AP11" i="19"/>
  <c r="AO11" i="19"/>
  <c r="AN11" i="19"/>
  <c r="AM11" i="19"/>
  <c r="AL11" i="19"/>
  <c r="AK11" i="19"/>
  <c r="AJ11" i="19"/>
  <c r="AI11" i="19"/>
  <c r="AH11" i="19"/>
  <c r="AF11" i="19"/>
  <c r="AP10" i="19"/>
  <c r="AO10" i="19" s="1"/>
  <c r="AN10" i="19"/>
  <c r="AM10" i="19" s="1"/>
  <c r="AL10" i="19"/>
  <c r="AK10" i="19" s="1"/>
  <c r="AJ10" i="19"/>
  <c r="AI10" i="19" s="1"/>
  <c r="AH10" i="19"/>
  <c r="AF10" i="19"/>
  <c r="AP9" i="19"/>
  <c r="AO9" i="19"/>
  <c r="AN9" i="19"/>
  <c r="AM9" i="19"/>
  <c r="AL9" i="19"/>
  <c r="AK9" i="19"/>
  <c r="AJ9" i="19"/>
  <c r="AI9" i="19"/>
  <c r="AH9" i="19"/>
  <c r="AF9" i="19"/>
  <c r="AP8" i="19"/>
  <c r="AO8" i="19" s="1"/>
  <c r="AN8" i="19"/>
  <c r="AM8" i="19" s="1"/>
  <c r="AL8" i="19"/>
  <c r="AK8" i="19" s="1"/>
  <c r="AJ8" i="19"/>
  <c r="AI8" i="19" s="1"/>
  <c r="AH8" i="19"/>
  <c r="AF8" i="19"/>
  <c r="AP7" i="19"/>
  <c r="AO7" i="19"/>
  <c r="AN7" i="19"/>
  <c r="AM7" i="19"/>
  <c r="AL7" i="19"/>
  <c r="AK7" i="19"/>
  <c r="AJ7" i="19"/>
  <c r="AI7" i="19"/>
  <c r="AH7" i="19"/>
  <c r="AG7" i="19"/>
  <c r="AF7" i="19"/>
  <c r="AE7" i="19"/>
  <c r="AD7" i="19" s="1"/>
  <c r="AP6" i="19"/>
  <c r="AO6" i="19" s="1"/>
  <c r="AN6" i="19"/>
  <c r="AM6" i="19" s="1"/>
  <c r="AL6" i="19"/>
  <c r="AK6" i="19" s="1"/>
  <c r="AJ6" i="19"/>
  <c r="AI6" i="19" s="1"/>
  <c r="AH6" i="19"/>
  <c r="AG6" i="19" s="1"/>
  <c r="AF6" i="19"/>
  <c r="AE6" i="19" s="1"/>
  <c r="AP16" i="18"/>
  <c r="AO16" i="18" s="1"/>
  <c r="AN16" i="18"/>
  <c r="AM16" i="18" s="1"/>
  <c r="AL16" i="18"/>
  <c r="AK16" i="18" s="1"/>
  <c r="AJ16" i="18"/>
  <c r="AI16" i="18" s="1"/>
  <c r="AH16" i="18"/>
  <c r="AF16" i="18"/>
  <c r="AP15" i="18"/>
  <c r="AO15" i="18" s="1"/>
  <c r="AN15" i="18"/>
  <c r="AM15" i="18" s="1"/>
  <c r="AL15" i="18"/>
  <c r="AK15" i="18" s="1"/>
  <c r="AJ15" i="18"/>
  <c r="AI15" i="18" s="1"/>
  <c r="AH15" i="18"/>
  <c r="AF15" i="18"/>
  <c r="AP14" i="18"/>
  <c r="AO14" i="18" s="1"/>
  <c r="AN14" i="18"/>
  <c r="AM14" i="18" s="1"/>
  <c r="AL14" i="18"/>
  <c r="AK14" i="18" s="1"/>
  <c r="AJ14" i="18"/>
  <c r="AI14" i="18" s="1"/>
  <c r="AH14" i="18"/>
  <c r="AF14" i="18"/>
  <c r="AP13" i="18"/>
  <c r="AO13" i="18" s="1"/>
  <c r="AN13" i="18"/>
  <c r="AM13" i="18" s="1"/>
  <c r="AL13" i="18"/>
  <c r="AK13" i="18" s="1"/>
  <c r="AJ13" i="18"/>
  <c r="AI13" i="18" s="1"/>
  <c r="AH13" i="18"/>
  <c r="AF13" i="18"/>
  <c r="AP12" i="18"/>
  <c r="AO12" i="18" s="1"/>
  <c r="AN12" i="18"/>
  <c r="AM12" i="18" s="1"/>
  <c r="AL12" i="18"/>
  <c r="AK12" i="18" s="1"/>
  <c r="AJ12" i="18"/>
  <c r="AI12" i="18" s="1"/>
  <c r="AH12" i="18"/>
  <c r="AF12" i="18"/>
  <c r="AP11" i="18"/>
  <c r="AO11" i="18" s="1"/>
  <c r="AN11" i="18"/>
  <c r="AM11" i="18" s="1"/>
  <c r="AL11" i="18"/>
  <c r="AK11" i="18" s="1"/>
  <c r="AJ11" i="18"/>
  <c r="AI11" i="18" s="1"/>
  <c r="AH11" i="18"/>
  <c r="AF11" i="18"/>
  <c r="AP10" i="18"/>
  <c r="AO10" i="18" s="1"/>
  <c r="AN10" i="18"/>
  <c r="AM10" i="18" s="1"/>
  <c r="AL10" i="18"/>
  <c r="AK10" i="18" s="1"/>
  <c r="AJ10" i="18"/>
  <c r="AI10" i="18" s="1"/>
  <c r="AH10" i="18"/>
  <c r="AF10" i="18"/>
  <c r="AP9" i="18"/>
  <c r="AO9" i="18" s="1"/>
  <c r="AN9" i="18"/>
  <c r="AM9" i="18" s="1"/>
  <c r="AL9" i="18"/>
  <c r="AK9" i="18" s="1"/>
  <c r="AJ9" i="18"/>
  <c r="AI9" i="18" s="1"/>
  <c r="AH9" i="18"/>
  <c r="AF9" i="18"/>
  <c r="AP8" i="18"/>
  <c r="AO8" i="18" s="1"/>
  <c r="AN8" i="18"/>
  <c r="AM8" i="18" s="1"/>
  <c r="AL8" i="18"/>
  <c r="AK8" i="18" s="1"/>
  <c r="AJ8" i="18"/>
  <c r="AI8" i="18" s="1"/>
  <c r="AH8" i="18"/>
  <c r="AF8" i="18"/>
  <c r="AP7" i="18"/>
  <c r="AO7" i="18"/>
  <c r="AN7" i="18"/>
  <c r="AM7" i="18"/>
  <c r="AL7" i="18"/>
  <c r="AK7" i="18"/>
  <c r="AJ7" i="18"/>
  <c r="AI7" i="18"/>
  <c r="AH7" i="18"/>
  <c r="AG7" i="18"/>
  <c r="AF7" i="18"/>
  <c r="AE7" i="18"/>
  <c r="AD7" i="18" s="1"/>
  <c r="AP6" i="18"/>
  <c r="AO6" i="18" s="1"/>
  <c r="AN6" i="18"/>
  <c r="AM6" i="18" s="1"/>
  <c r="AL6" i="18"/>
  <c r="AK6" i="18" s="1"/>
  <c r="AJ6" i="18"/>
  <c r="AI6" i="18" s="1"/>
  <c r="AH6" i="18"/>
  <c r="AG6" i="18" s="1"/>
  <c r="AF6" i="18"/>
  <c r="AE6" i="18" s="1"/>
  <c r="AP17" i="17"/>
  <c r="AO17" i="17" s="1"/>
  <c r="AN17" i="17"/>
  <c r="AM17" i="17" s="1"/>
  <c r="AL17" i="17"/>
  <c r="AK17" i="17" s="1"/>
  <c r="AJ17" i="17"/>
  <c r="AI17" i="17" s="1"/>
  <c r="AH17" i="17"/>
  <c r="AF17" i="17"/>
  <c r="AP16" i="17"/>
  <c r="AO16" i="17" s="1"/>
  <c r="AN16" i="17"/>
  <c r="AM16" i="17" s="1"/>
  <c r="AL16" i="17"/>
  <c r="AK16" i="17" s="1"/>
  <c r="AJ16" i="17"/>
  <c r="AI16" i="17" s="1"/>
  <c r="AH16" i="17"/>
  <c r="AF16" i="17"/>
  <c r="AP15" i="17"/>
  <c r="AO15" i="17" s="1"/>
  <c r="AN15" i="17"/>
  <c r="AM15" i="17" s="1"/>
  <c r="AL15" i="17"/>
  <c r="AK15" i="17" s="1"/>
  <c r="AJ15" i="17"/>
  <c r="AI15" i="17" s="1"/>
  <c r="AH15" i="17"/>
  <c r="AF15" i="17"/>
  <c r="AP14" i="17"/>
  <c r="AO14" i="17" s="1"/>
  <c r="AN14" i="17"/>
  <c r="AM14" i="17" s="1"/>
  <c r="AL14" i="17"/>
  <c r="AK14" i="17" s="1"/>
  <c r="AJ14" i="17"/>
  <c r="AI14" i="17" s="1"/>
  <c r="AH14" i="17"/>
  <c r="AF14" i="17"/>
  <c r="AP13" i="17"/>
  <c r="AO13" i="17" s="1"/>
  <c r="AN13" i="17"/>
  <c r="AM13" i="17" s="1"/>
  <c r="AL13" i="17"/>
  <c r="AK13" i="17" s="1"/>
  <c r="AJ13" i="17"/>
  <c r="AI13" i="17" s="1"/>
  <c r="AH13" i="17"/>
  <c r="AF13" i="17"/>
  <c r="AP12" i="17"/>
  <c r="AO12" i="17" s="1"/>
  <c r="AN12" i="17"/>
  <c r="AM12" i="17" s="1"/>
  <c r="AL12" i="17"/>
  <c r="AJ12" i="17"/>
  <c r="AH12" i="17"/>
  <c r="AF12" i="17"/>
  <c r="AP11" i="17"/>
  <c r="AO11" i="17" s="1"/>
  <c r="AN11" i="17"/>
  <c r="AM11" i="17" s="1"/>
  <c r="AL11" i="17"/>
  <c r="AK11" i="17" s="1"/>
  <c r="AJ11" i="17"/>
  <c r="AI11" i="17" s="1"/>
  <c r="AH11" i="17"/>
  <c r="AF11" i="17"/>
  <c r="AP10" i="17"/>
  <c r="AO10" i="17" s="1"/>
  <c r="AN10" i="17"/>
  <c r="AM10" i="17" s="1"/>
  <c r="AL10" i="17"/>
  <c r="AK10" i="17" s="1"/>
  <c r="AJ10" i="17"/>
  <c r="AI10" i="17" s="1"/>
  <c r="AH10" i="17"/>
  <c r="AF10" i="17"/>
  <c r="AP9" i="17"/>
  <c r="AO9" i="17" s="1"/>
  <c r="AN9" i="17"/>
  <c r="AM9" i="17" s="1"/>
  <c r="AL9" i="17"/>
  <c r="AJ9" i="17"/>
  <c r="AH9" i="17"/>
  <c r="AF9" i="17"/>
  <c r="AP8" i="17"/>
  <c r="AO8" i="17" s="1"/>
  <c r="AN8" i="17"/>
  <c r="AM8" i="17" s="1"/>
  <c r="AL8" i="17"/>
  <c r="AK8" i="17" s="1"/>
  <c r="AJ8" i="17"/>
  <c r="AI8" i="17" s="1"/>
  <c r="AH8" i="17"/>
  <c r="AF8" i="17"/>
  <c r="AP7" i="17"/>
  <c r="AO7" i="17"/>
  <c r="AN7" i="17"/>
  <c r="AM7" i="17"/>
  <c r="AL7" i="17"/>
  <c r="AK7" i="17"/>
  <c r="AJ7" i="17"/>
  <c r="AI7" i="17"/>
  <c r="AH7" i="17"/>
  <c r="AG7" i="17"/>
  <c r="AF7" i="17"/>
  <c r="AE7" i="17"/>
  <c r="AD7" i="17" s="1"/>
  <c r="AP6" i="17"/>
  <c r="AO6" i="17" s="1"/>
  <c r="AN6" i="17"/>
  <c r="AM6" i="17" s="1"/>
  <c r="AL6" i="17"/>
  <c r="AK6" i="17" s="1"/>
  <c r="AJ6" i="17"/>
  <c r="AI6" i="17" s="1"/>
  <c r="AH6" i="17"/>
  <c r="AG6" i="17" s="1"/>
  <c r="AF6" i="17"/>
  <c r="AE6" i="17" s="1"/>
  <c r="AP18" i="16"/>
  <c r="AO18" i="16" s="1"/>
  <c r="AN18" i="16"/>
  <c r="AM18" i="16" s="1"/>
  <c r="AL18" i="16"/>
  <c r="AK18" i="16" s="1"/>
  <c r="AJ18" i="16"/>
  <c r="AI18" i="16" s="1"/>
  <c r="AH18" i="16"/>
  <c r="AF18" i="16"/>
  <c r="AP17" i="16"/>
  <c r="AO17" i="16" s="1"/>
  <c r="AN17" i="16"/>
  <c r="AM17" i="16" s="1"/>
  <c r="AL17" i="16"/>
  <c r="AK17" i="16" s="1"/>
  <c r="AJ17" i="16"/>
  <c r="AI17" i="16" s="1"/>
  <c r="AH17" i="16"/>
  <c r="AF17" i="16"/>
  <c r="AP16" i="16"/>
  <c r="AO16" i="16" s="1"/>
  <c r="AN16" i="16"/>
  <c r="AM16" i="16" s="1"/>
  <c r="AL16" i="16"/>
  <c r="AJ16" i="16"/>
  <c r="AH16" i="16"/>
  <c r="AF16" i="16"/>
  <c r="AP15" i="16"/>
  <c r="AO15" i="16" s="1"/>
  <c r="AN15" i="16"/>
  <c r="AM15" i="16" s="1"/>
  <c r="AL15" i="16"/>
  <c r="AK15" i="16" s="1"/>
  <c r="AJ15" i="16"/>
  <c r="AI15" i="16" s="1"/>
  <c r="AH15" i="16"/>
  <c r="AF15" i="16"/>
  <c r="AP14" i="16"/>
  <c r="AO14" i="16" s="1"/>
  <c r="AN14" i="16"/>
  <c r="AM14" i="16" s="1"/>
  <c r="AL14" i="16"/>
  <c r="AJ14" i="16"/>
  <c r="AH14" i="16"/>
  <c r="AF14" i="16"/>
  <c r="AP13" i="16"/>
  <c r="AO13" i="16" s="1"/>
  <c r="AN13" i="16"/>
  <c r="AM13" i="16" s="1"/>
  <c r="AL13" i="16"/>
  <c r="AK13" i="16" s="1"/>
  <c r="AJ13" i="16"/>
  <c r="AI13" i="16" s="1"/>
  <c r="AH13" i="16"/>
  <c r="AF13" i="16"/>
  <c r="AP12" i="16"/>
  <c r="AO12" i="16" s="1"/>
  <c r="AN12" i="16"/>
  <c r="AM12" i="16" s="1"/>
  <c r="AL12" i="16"/>
  <c r="AK12" i="16" s="1"/>
  <c r="AJ12" i="16"/>
  <c r="AI12" i="16" s="1"/>
  <c r="AH12" i="16"/>
  <c r="AF12" i="16"/>
  <c r="AP11" i="16"/>
  <c r="AO11" i="16" s="1"/>
  <c r="AN11" i="16"/>
  <c r="AM11" i="16" s="1"/>
  <c r="AL11" i="16"/>
  <c r="AK11" i="16" s="1"/>
  <c r="AJ11" i="16"/>
  <c r="AI11" i="16" s="1"/>
  <c r="AH11" i="16"/>
  <c r="AF11" i="16"/>
  <c r="AP10" i="16"/>
  <c r="AO10" i="16" s="1"/>
  <c r="AN10" i="16"/>
  <c r="AM10" i="16" s="1"/>
  <c r="AL10" i="16"/>
  <c r="AK10" i="16" s="1"/>
  <c r="AJ10" i="16"/>
  <c r="AI10" i="16" s="1"/>
  <c r="AH10" i="16"/>
  <c r="AF10" i="16"/>
  <c r="AP9" i="16"/>
  <c r="AO9" i="16" s="1"/>
  <c r="AN9" i="16"/>
  <c r="AM9" i="16" s="1"/>
  <c r="AL9" i="16"/>
  <c r="AK9" i="16" s="1"/>
  <c r="AJ9" i="16"/>
  <c r="AI9" i="16" s="1"/>
  <c r="AH9" i="16"/>
  <c r="AF9" i="16"/>
  <c r="AP8" i="16"/>
  <c r="AO8" i="16" s="1"/>
  <c r="AN8" i="16"/>
  <c r="AM8" i="16" s="1"/>
  <c r="AL8" i="16"/>
  <c r="AK8" i="16" s="1"/>
  <c r="AJ8" i="16"/>
  <c r="AI8" i="16" s="1"/>
  <c r="AH8" i="16"/>
  <c r="AF8" i="16"/>
  <c r="AP7" i="16"/>
  <c r="AO7" i="16"/>
  <c r="AN7" i="16"/>
  <c r="AM7" i="16"/>
  <c r="AL7" i="16"/>
  <c r="AK7" i="16"/>
  <c r="AJ7" i="16"/>
  <c r="AI7" i="16"/>
  <c r="AH7" i="16"/>
  <c r="AG7" i="16"/>
  <c r="AF7" i="16"/>
  <c r="AE7" i="16"/>
  <c r="AD7" i="16" s="1"/>
  <c r="AP6" i="16"/>
  <c r="AO6" i="16" s="1"/>
  <c r="AN6" i="16"/>
  <c r="AM6" i="16" s="1"/>
  <c r="AL6" i="16"/>
  <c r="AK6" i="16" s="1"/>
  <c r="AJ6" i="16"/>
  <c r="AI6" i="16" s="1"/>
  <c r="AH6" i="16"/>
  <c r="AG6" i="16" s="1"/>
  <c r="AF6" i="16"/>
  <c r="AE6" i="16" s="1"/>
  <c r="AP18" i="15"/>
  <c r="AO18" i="15" s="1"/>
  <c r="AN18" i="15"/>
  <c r="AM18" i="15" s="1"/>
  <c r="AL18" i="15"/>
  <c r="AK18" i="15" s="1"/>
  <c r="AJ18" i="15"/>
  <c r="AI18" i="15" s="1"/>
  <c r="AH18" i="15"/>
  <c r="AF18" i="15"/>
  <c r="AP17" i="15"/>
  <c r="AO17" i="15" s="1"/>
  <c r="AN17" i="15"/>
  <c r="AM17" i="15" s="1"/>
  <c r="AL17" i="15"/>
  <c r="AK17" i="15" s="1"/>
  <c r="AJ17" i="15"/>
  <c r="AI17" i="15" s="1"/>
  <c r="AH17" i="15"/>
  <c r="AF17" i="15"/>
  <c r="AP16" i="15"/>
  <c r="AO16" i="15" s="1"/>
  <c r="AN16" i="15"/>
  <c r="AM16" i="15" s="1"/>
  <c r="AL16" i="15"/>
  <c r="AK16" i="15" s="1"/>
  <c r="AJ16" i="15"/>
  <c r="AI16" i="15" s="1"/>
  <c r="AH16" i="15"/>
  <c r="AF16" i="15"/>
  <c r="AP15" i="15"/>
  <c r="AO15" i="15" s="1"/>
  <c r="AN15" i="15"/>
  <c r="AM15" i="15" s="1"/>
  <c r="AL15" i="15"/>
  <c r="AK15" i="15" s="1"/>
  <c r="AJ15" i="15"/>
  <c r="AI15" i="15" s="1"/>
  <c r="AH15" i="15"/>
  <c r="AF15" i="15"/>
  <c r="AP14" i="15"/>
  <c r="AO14" i="15" s="1"/>
  <c r="AN14" i="15"/>
  <c r="AM14" i="15" s="1"/>
  <c r="AL14" i="15"/>
  <c r="AK14" i="15" s="1"/>
  <c r="AJ14" i="15"/>
  <c r="AI14" i="15" s="1"/>
  <c r="AH14" i="15"/>
  <c r="AF14" i="15"/>
  <c r="AP13" i="15"/>
  <c r="AO13" i="15" s="1"/>
  <c r="AN13" i="15"/>
  <c r="AM13" i="15" s="1"/>
  <c r="AL13" i="15"/>
  <c r="AK13" i="15" s="1"/>
  <c r="AJ13" i="15"/>
  <c r="AI13" i="15" s="1"/>
  <c r="AH13" i="15"/>
  <c r="AF13" i="15"/>
  <c r="AP12" i="15"/>
  <c r="AO12" i="15" s="1"/>
  <c r="AN12" i="15"/>
  <c r="AM12" i="15" s="1"/>
  <c r="AL12" i="15"/>
  <c r="AK12" i="15" s="1"/>
  <c r="AJ12" i="15"/>
  <c r="AI12" i="15" s="1"/>
  <c r="AH12" i="15"/>
  <c r="AF12" i="15"/>
  <c r="AP11" i="15"/>
  <c r="AO11" i="15" s="1"/>
  <c r="AN11" i="15"/>
  <c r="AM11" i="15" s="1"/>
  <c r="AL11" i="15"/>
  <c r="AK11" i="15" s="1"/>
  <c r="AJ11" i="15"/>
  <c r="AI11" i="15" s="1"/>
  <c r="AH11" i="15"/>
  <c r="AF11" i="15"/>
  <c r="AP10" i="15"/>
  <c r="AO10" i="15" s="1"/>
  <c r="AN10" i="15"/>
  <c r="AM10" i="15" s="1"/>
  <c r="AL10" i="15"/>
  <c r="AK10" i="15" s="1"/>
  <c r="AJ10" i="15"/>
  <c r="AI10" i="15" s="1"/>
  <c r="AH10" i="15"/>
  <c r="AF10" i="15"/>
  <c r="AP9" i="15"/>
  <c r="AO9" i="15" s="1"/>
  <c r="AN9" i="15"/>
  <c r="AM9" i="15" s="1"/>
  <c r="AL9" i="15"/>
  <c r="AK9" i="15" s="1"/>
  <c r="AJ9" i="15"/>
  <c r="AI9" i="15" s="1"/>
  <c r="AH9" i="15"/>
  <c r="AF9" i="15"/>
  <c r="AP8" i="15"/>
  <c r="AO8" i="15" s="1"/>
  <c r="AN8" i="15"/>
  <c r="AM8" i="15" s="1"/>
  <c r="AL8" i="15"/>
  <c r="AK8" i="15" s="1"/>
  <c r="AJ8" i="15"/>
  <c r="AI8" i="15" s="1"/>
  <c r="AH8" i="15"/>
  <c r="AF8" i="15"/>
  <c r="AP7" i="15"/>
  <c r="AO7" i="15"/>
  <c r="AN7" i="15"/>
  <c r="AM7" i="15"/>
  <c r="AL7" i="15"/>
  <c r="AK7" i="15"/>
  <c r="AJ7" i="15"/>
  <c r="AI7" i="15"/>
  <c r="AH7" i="15"/>
  <c r="AG7" i="15"/>
  <c r="AF7" i="15"/>
  <c r="AE7" i="15"/>
  <c r="AD7" i="15" s="1"/>
  <c r="AP6" i="15"/>
  <c r="AO6" i="15" s="1"/>
  <c r="AN6" i="15"/>
  <c r="AM6" i="15" s="1"/>
  <c r="AL6" i="15"/>
  <c r="AK6" i="15" s="1"/>
  <c r="AJ6" i="15"/>
  <c r="AI6" i="15" s="1"/>
  <c r="AH6" i="15"/>
  <c r="AG6" i="15" s="1"/>
  <c r="AF6" i="15"/>
  <c r="AE6" i="15" s="1"/>
  <c r="AP17" i="14"/>
  <c r="AO17" i="14" s="1"/>
  <c r="AN17" i="14"/>
  <c r="AM17" i="14" s="1"/>
  <c r="AL17" i="14"/>
  <c r="AK17" i="14" s="1"/>
  <c r="AJ17" i="14"/>
  <c r="AI17" i="14" s="1"/>
  <c r="AH17" i="14"/>
  <c r="AF17" i="14"/>
  <c r="AP16" i="14"/>
  <c r="AO16" i="14" s="1"/>
  <c r="AN16" i="14"/>
  <c r="AM16" i="14" s="1"/>
  <c r="AL16" i="14"/>
  <c r="AK16" i="14" s="1"/>
  <c r="AJ16" i="14"/>
  <c r="AI16" i="14" s="1"/>
  <c r="AH16" i="14"/>
  <c r="AF16" i="14"/>
  <c r="AP15" i="14"/>
  <c r="AO15" i="14" s="1"/>
  <c r="AN15" i="14"/>
  <c r="AM15" i="14" s="1"/>
  <c r="AL15" i="14"/>
  <c r="AK15" i="14" s="1"/>
  <c r="AJ15" i="14"/>
  <c r="AI15" i="14" s="1"/>
  <c r="AH15" i="14"/>
  <c r="AF15" i="14"/>
  <c r="AP14" i="14"/>
  <c r="AO14" i="14" s="1"/>
  <c r="AN14" i="14"/>
  <c r="AM14" i="14" s="1"/>
  <c r="AL14" i="14"/>
  <c r="AK14" i="14" s="1"/>
  <c r="AJ14" i="14"/>
  <c r="AI14" i="14" s="1"/>
  <c r="AH14" i="14"/>
  <c r="AF14" i="14"/>
  <c r="AP13" i="14"/>
  <c r="AO13" i="14" s="1"/>
  <c r="AN13" i="14"/>
  <c r="AM13" i="14" s="1"/>
  <c r="AL13" i="14"/>
  <c r="AK13" i="14" s="1"/>
  <c r="AJ13" i="14"/>
  <c r="AI13" i="14" s="1"/>
  <c r="AH13" i="14"/>
  <c r="AF13" i="14"/>
  <c r="AP12" i="14"/>
  <c r="AO12" i="14" s="1"/>
  <c r="AN12" i="14"/>
  <c r="AM12" i="14" s="1"/>
  <c r="AL12" i="14"/>
  <c r="AK12" i="14" s="1"/>
  <c r="AJ12" i="14"/>
  <c r="AI12" i="14" s="1"/>
  <c r="AH12" i="14"/>
  <c r="AF12" i="14"/>
  <c r="AP11" i="14"/>
  <c r="AO11" i="14" s="1"/>
  <c r="AN11" i="14"/>
  <c r="AM11" i="14" s="1"/>
  <c r="AL11" i="14"/>
  <c r="AK11" i="14" s="1"/>
  <c r="AJ11" i="14"/>
  <c r="AI11" i="14" s="1"/>
  <c r="AH11" i="14"/>
  <c r="AF11" i="14"/>
  <c r="AP10" i="14"/>
  <c r="AO10" i="14" s="1"/>
  <c r="AN10" i="14"/>
  <c r="AM10" i="14" s="1"/>
  <c r="AL10" i="14"/>
  <c r="AK10" i="14" s="1"/>
  <c r="AJ10" i="14"/>
  <c r="AI10" i="14" s="1"/>
  <c r="AH10" i="14"/>
  <c r="AF10" i="14"/>
  <c r="AP9" i="14"/>
  <c r="AO9" i="14" s="1"/>
  <c r="AN9" i="14"/>
  <c r="AM9" i="14" s="1"/>
  <c r="AL9" i="14"/>
  <c r="AK9" i="14" s="1"/>
  <c r="AJ9" i="14"/>
  <c r="AI9" i="14" s="1"/>
  <c r="AH9" i="14"/>
  <c r="AF9" i="14"/>
  <c r="AP8" i="14"/>
  <c r="AO8" i="14" s="1"/>
  <c r="AN8" i="14"/>
  <c r="AM8" i="14" s="1"/>
  <c r="AL8" i="14"/>
  <c r="AK8" i="14" s="1"/>
  <c r="AJ8" i="14"/>
  <c r="AI8" i="14" s="1"/>
  <c r="AH8" i="14"/>
  <c r="AF8" i="14"/>
  <c r="AP7" i="14"/>
  <c r="AO7" i="14"/>
  <c r="AN7" i="14"/>
  <c r="AM7" i="14"/>
  <c r="AL7" i="14"/>
  <c r="AK7" i="14"/>
  <c r="AJ7" i="14"/>
  <c r="AI7" i="14"/>
  <c r="AH7" i="14"/>
  <c r="AG7" i="14"/>
  <c r="AF7" i="14"/>
  <c r="AE7" i="14"/>
  <c r="AD7" i="14" s="1"/>
  <c r="AP6" i="14"/>
  <c r="AO6" i="14" s="1"/>
  <c r="AN6" i="14"/>
  <c r="AM6" i="14" s="1"/>
  <c r="AL6" i="14"/>
  <c r="AK6" i="14" s="1"/>
  <c r="AJ6" i="14"/>
  <c r="AI6" i="14" s="1"/>
  <c r="AH6" i="14"/>
  <c r="AG6" i="14" s="1"/>
  <c r="AF6" i="14"/>
  <c r="AE6" i="14" s="1"/>
  <c r="AP17" i="13"/>
  <c r="AO17" i="13"/>
  <c r="AN17" i="13"/>
  <c r="AM17" i="13"/>
  <c r="AL17" i="13"/>
  <c r="AK17" i="13"/>
  <c r="AJ17" i="13"/>
  <c r="AI17" i="13"/>
  <c r="AH17" i="13"/>
  <c r="AF17" i="13"/>
  <c r="AP16" i="13"/>
  <c r="AO16" i="13" s="1"/>
  <c r="AN16" i="13"/>
  <c r="AM16" i="13" s="1"/>
  <c r="AL16" i="13"/>
  <c r="AK16" i="13" s="1"/>
  <c r="AJ16" i="13"/>
  <c r="AI16" i="13" s="1"/>
  <c r="AH16" i="13"/>
  <c r="AF16" i="13"/>
  <c r="AP15" i="13"/>
  <c r="AO15" i="13"/>
  <c r="AN15" i="13"/>
  <c r="AM15" i="13"/>
  <c r="AL15" i="13"/>
  <c r="AK15" i="13"/>
  <c r="AJ15" i="13"/>
  <c r="AI15" i="13"/>
  <c r="AH15" i="13"/>
  <c r="AF15" i="13"/>
  <c r="AP14" i="13"/>
  <c r="AO14" i="13" s="1"/>
  <c r="AN14" i="13"/>
  <c r="AM14" i="13" s="1"/>
  <c r="AL14" i="13"/>
  <c r="AK14" i="13" s="1"/>
  <c r="AJ14" i="13"/>
  <c r="AI14" i="13" s="1"/>
  <c r="AH14" i="13"/>
  <c r="AF14" i="13"/>
  <c r="AP13" i="13"/>
  <c r="AO13" i="13"/>
  <c r="AN13" i="13"/>
  <c r="AM13" i="13"/>
  <c r="AL13" i="13"/>
  <c r="AJ13" i="13"/>
  <c r="AH13" i="13"/>
  <c r="AF13" i="13"/>
  <c r="AP12" i="13"/>
  <c r="AO12" i="13" s="1"/>
  <c r="AN12" i="13"/>
  <c r="AM12" i="13" s="1"/>
  <c r="AL12" i="13"/>
  <c r="AK12" i="13" s="1"/>
  <c r="AJ12" i="13"/>
  <c r="AI12" i="13" s="1"/>
  <c r="AH12" i="13"/>
  <c r="AF12" i="13"/>
  <c r="AP11" i="13"/>
  <c r="AO11" i="13" s="1"/>
  <c r="AN11" i="13"/>
  <c r="AM11" i="13" s="1"/>
  <c r="AL11" i="13"/>
  <c r="AK11" i="13" s="1"/>
  <c r="AJ11" i="13"/>
  <c r="AI11" i="13" s="1"/>
  <c r="AH11" i="13"/>
  <c r="AF11" i="13"/>
  <c r="AP10" i="13"/>
  <c r="AO10" i="13" s="1"/>
  <c r="AN10" i="13"/>
  <c r="AM10" i="13" s="1"/>
  <c r="AL10" i="13"/>
  <c r="AK10" i="13" s="1"/>
  <c r="AJ10" i="13"/>
  <c r="AI10" i="13" s="1"/>
  <c r="AH10" i="13"/>
  <c r="AF10" i="13"/>
  <c r="AP9" i="13"/>
  <c r="AO9" i="13" s="1"/>
  <c r="AN9" i="13"/>
  <c r="AM9" i="13" s="1"/>
  <c r="AL9" i="13"/>
  <c r="AK9" i="13" s="1"/>
  <c r="AJ9" i="13"/>
  <c r="AI9" i="13" s="1"/>
  <c r="AH9" i="13"/>
  <c r="AF9" i="13"/>
  <c r="AP8" i="13"/>
  <c r="AO8" i="13" s="1"/>
  <c r="AN8" i="13"/>
  <c r="AM8" i="13" s="1"/>
  <c r="AL8" i="13"/>
  <c r="AK8" i="13" s="1"/>
  <c r="AJ8" i="13"/>
  <c r="AI8" i="13" s="1"/>
  <c r="AH8" i="13"/>
  <c r="AF8" i="13"/>
  <c r="AP7" i="13"/>
  <c r="AO7" i="13"/>
  <c r="AN7" i="13"/>
  <c r="AM7" i="13"/>
  <c r="AL7" i="13"/>
  <c r="AK7" i="13"/>
  <c r="AJ7" i="13"/>
  <c r="AI7" i="13"/>
  <c r="AH7" i="13"/>
  <c r="AG7" i="13"/>
  <c r="AF7" i="13"/>
  <c r="AE7" i="13"/>
  <c r="AD7" i="13" s="1"/>
  <c r="AP6" i="13"/>
  <c r="AO6" i="13" s="1"/>
  <c r="AN6" i="13"/>
  <c r="AM6" i="13" s="1"/>
  <c r="AL6" i="13"/>
  <c r="AK6" i="13" s="1"/>
  <c r="AJ6" i="13"/>
  <c r="AI6" i="13" s="1"/>
  <c r="AH6" i="13"/>
  <c r="AG6" i="13" s="1"/>
  <c r="AF6" i="13"/>
  <c r="AE6" i="13" s="1"/>
  <c r="AP17" i="12"/>
  <c r="AO17" i="12" s="1"/>
  <c r="AN17" i="12"/>
  <c r="AM17" i="12" s="1"/>
  <c r="AL17" i="12"/>
  <c r="AK17" i="12" s="1"/>
  <c r="AJ17" i="12"/>
  <c r="AI17" i="12" s="1"/>
  <c r="AH17" i="12"/>
  <c r="AF17" i="12"/>
  <c r="AP16" i="12"/>
  <c r="AO16" i="12" s="1"/>
  <c r="AN16" i="12"/>
  <c r="AM16" i="12" s="1"/>
  <c r="AL16" i="12"/>
  <c r="AK16" i="12" s="1"/>
  <c r="AJ16" i="12"/>
  <c r="AI16" i="12" s="1"/>
  <c r="AH16" i="12"/>
  <c r="AF16" i="12"/>
  <c r="AP15" i="12"/>
  <c r="AO15" i="12" s="1"/>
  <c r="AN15" i="12"/>
  <c r="AM15" i="12" s="1"/>
  <c r="AL15" i="12"/>
  <c r="AJ15" i="12"/>
  <c r="AH15" i="12"/>
  <c r="AF15" i="12"/>
  <c r="AP14" i="12"/>
  <c r="AO14" i="12" s="1"/>
  <c r="AN14" i="12"/>
  <c r="AM14" i="12" s="1"/>
  <c r="AL14" i="12"/>
  <c r="AK14" i="12" s="1"/>
  <c r="AJ14" i="12"/>
  <c r="AI14" i="12" s="1"/>
  <c r="AH14" i="12"/>
  <c r="AF14" i="12"/>
  <c r="AP13" i="12"/>
  <c r="AO13" i="12" s="1"/>
  <c r="AN13" i="12"/>
  <c r="AM13" i="12" s="1"/>
  <c r="AL13" i="12"/>
  <c r="AK13" i="12" s="1"/>
  <c r="AJ13" i="12"/>
  <c r="AI13" i="12" s="1"/>
  <c r="AH13" i="12"/>
  <c r="AF13" i="12"/>
  <c r="AP12" i="12"/>
  <c r="AO12" i="12" s="1"/>
  <c r="AN12" i="12"/>
  <c r="AM12" i="12" s="1"/>
  <c r="AL12" i="12"/>
  <c r="AK12" i="12" s="1"/>
  <c r="AJ12" i="12"/>
  <c r="AI12" i="12" s="1"/>
  <c r="AH12" i="12"/>
  <c r="AF12" i="12"/>
  <c r="AP11" i="12"/>
  <c r="AO11" i="12" s="1"/>
  <c r="AN11" i="12"/>
  <c r="AM11" i="12" s="1"/>
  <c r="AL11" i="12"/>
  <c r="AK11" i="12" s="1"/>
  <c r="AJ11" i="12"/>
  <c r="AI11" i="12" s="1"/>
  <c r="AH11" i="12"/>
  <c r="AF11" i="12"/>
  <c r="AP10" i="12"/>
  <c r="AO10" i="12" s="1"/>
  <c r="AN10" i="12"/>
  <c r="AM10" i="12" s="1"/>
  <c r="AL10" i="12"/>
  <c r="AK10" i="12" s="1"/>
  <c r="AJ10" i="12"/>
  <c r="AI10" i="12" s="1"/>
  <c r="AH10" i="12"/>
  <c r="AF10" i="12"/>
  <c r="AP9" i="12"/>
  <c r="AO9" i="12" s="1"/>
  <c r="AN9" i="12"/>
  <c r="AM9" i="12" s="1"/>
  <c r="AL9" i="12"/>
  <c r="AK9" i="12" s="1"/>
  <c r="AJ9" i="12"/>
  <c r="AI9" i="12" s="1"/>
  <c r="AH9" i="12"/>
  <c r="AF9" i="12"/>
  <c r="AP8" i="12"/>
  <c r="AO8" i="12" s="1"/>
  <c r="AN8" i="12"/>
  <c r="AM8" i="12" s="1"/>
  <c r="AL8" i="12"/>
  <c r="AK8" i="12" s="1"/>
  <c r="AJ8" i="12"/>
  <c r="AI8" i="12" s="1"/>
  <c r="AH8" i="12"/>
  <c r="AF8" i="12"/>
  <c r="AP7" i="12"/>
  <c r="AO7" i="12"/>
  <c r="AN7" i="12"/>
  <c r="AM7" i="12"/>
  <c r="AL7" i="12"/>
  <c r="AK7" i="12"/>
  <c r="AJ7" i="12"/>
  <c r="AI7" i="12"/>
  <c r="AH7" i="12"/>
  <c r="AG7" i="12"/>
  <c r="AF7" i="12"/>
  <c r="AE7" i="12"/>
  <c r="AD7" i="12" s="1"/>
  <c r="AP6" i="12"/>
  <c r="AO6" i="12" s="1"/>
  <c r="AN6" i="12"/>
  <c r="AM6" i="12" s="1"/>
  <c r="AL6" i="12"/>
  <c r="AK6" i="12" s="1"/>
  <c r="AJ6" i="12"/>
  <c r="AI6" i="12" s="1"/>
  <c r="AH6" i="12"/>
  <c r="AG6" i="12" s="1"/>
  <c r="AF6" i="12"/>
  <c r="AE6" i="12" s="1"/>
  <c r="AP17" i="11"/>
  <c r="AO17" i="11" s="1"/>
  <c r="AN17" i="11"/>
  <c r="AM17" i="11" s="1"/>
  <c r="AL17" i="11"/>
  <c r="AK17" i="11" s="1"/>
  <c r="AJ17" i="11"/>
  <c r="AI17" i="11" s="1"/>
  <c r="AH17" i="11"/>
  <c r="AF17" i="11"/>
  <c r="AP16" i="11"/>
  <c r="AO16" i="11" s="1"/>
  <c r="AN16" i="11"/>
  <c r="AM16" i="11" s="1"/>
  <c r="AL16" i="11"/>
  <c r="AK16" i="11" s="1"/>
  <c r="AJ16" i="11"/>
  <c r="AI16" i="11" s="1"/>
  <c r="AH16" i="11"/>
  <c r="AF16" i="11"/>
  <c r="AP15" i="11"/>
  <c r="AO15" i="11" s="1"/>
  <c r="AN15" i="11"/>
  <c r="AM15" i="11" s="1"/>
  <c r="AL15" i="11"/>
  <c r="AK15" i="11" s="1"/>
  <c r="AJ15" i="11"/>
  <c r="AI15" i="11" s="1"/>
  <c r="AH15" i="11"/>
  <c r="AF15" i="11"/>
  <c r="AP14" i="11"/>
  <c r="AO14" i="11" s="1"/>
  <c r="AN14" i="11"/>
  <c r="AM14" i="11" s="1"/>
  <c r="AL14" i="11"/>
  <c r="AK14" i="11" s="1"/>
  <c r="AJ14" i="11"/>
  <c r="AI14" i="11" s="1"/>
  <c r="AH14" i="11"/>
  <c r="AF14" i="11"/>
  <c r="AP13" i="11"/>
  <c r="AO13" i="11" s="1"/>
  <c r="AN13" i="11"/>
  <c r="AM13" i="11" s="1"/>
  <c r="AL13" i="11"/>
  <c r="AK13" i="11" s="1"/>
  <c r="AJ13" i="11"/>
  <c r="AI13" i="11" s="1"/>
  <c r="AH13" i="11"/>
  <c r="AF13" i="11"/>
  <c r="AP12" i="11"/>
  <c r="AO12" i="11" s="1"/>
  <c r="AN12" i="11"/>
  <c r="AM12" i="11" s="1"/>
  <c r="AL12" i="11"/>
  <c r="AK12" i="11" s="1"/>
  <c r="AJ12" i="11"/>
  <c r="AI12" i="11" s="1"/>
  <c r="AH12" i="11"/>
  <c r="AF12" i="11"/>
  <c r="AP11" i="11"/>
  <c r="AO11" i="11" s="1"/>
  <c r="AN11" i="11"/>
  <c r="AM11" i="11" s="1"/>
  <c r="AL11" i="11"/>
  <c r="AK11" i="11" s="1"/>
  <c r="AJ11" i="11"/>
  <c r="AI11" i="11" s="1"/>
  <c r="AH11" i="11"/>
  <c r="AF11" i="11"/>
  <c r="AP10" i="11"/>
  <c r="AO10" i="11" s="1"/>
  <c r="AN10" i="11"/>
  <c r="AM10" i="11" s="1"/>
  <c r="AL10" i="11"/>
  <c r="AK10" i="11" s="1"/>
  <c r="AJ10" i="11"/>
  <c r="AI10" i="11" s="1"/>
  <c r="AH10" i="11"/>
  <c r="AF10" i="11"/>
  <c r="AP9" i="11"/>
  <c r="AO9" i="11" s="1"/>
  <c r="AN9" i="11"/>
  <c r="AM9" i="11" s="1"/>
  <c r="AL9" i="11"/>
  <c r="AK9" i="11" s="1"/>
  <c r="AJ9" i="11"/>
  <c r="AI9" i="11" s="1"/>
  <c r="AH9" i="11"/>
  <c r="AF9" i="11"/>
  <c r="AP8" i="11"/>
  <c r="AO8" i="11" s="1"/>
  <c r="AN8" i="11"/>
  <c r="AM8" i="11" s="1"/>
  <c r="AL8" i="11"/>
  <c r="AJ8" i="11"/>
  <c r="AH8" i="11"/>
  <c r="AF8" i="11"/>
  <c r="AP7" i="11"/>
  <c r="AO7" i="11" s="1"/>
  <c r="AN7" i="11"/>
  <c r="AM7" i="11" s="1"/>
  <c r="AL7" i="11"/>
  <c r="AK7" i="11" s="1"/>
  <c r="AJ7" i="11"/>
  <c r="AI7" i="11" s="1"/>
  <c r="AH7" i="11"/>
  <c r="AG7" i="11" s="1"/>
  <c r="AF7" i="11"/>
  <c r="AE7" i="11" s="1"/>
  <c r="AP6" i="11"/>
  <c r="AO6" i="11" s="1"/>
  <c r="AN6" i="11"/>
  <c r="AM6" i="11" s="1"/>
  <c r="AL6" i="11"/>
  <c r="AK6" i="11" s="1"/>
  <c r="AJ6" i="11"/>
  <c r="AI6" i="11" s="1"/>
  <c r="AH6" i="11"/>
  <c r="AG6" i="11" s="1"/>
  <c r="AF6" i="11"/>
  <c r="AE6" i="11" s="1"/>
  <c r="AF7" i="20"/>
  <c r="AE7" i="20" s="1"/>
  <c r="AH7" i="20"/>
  <c r="AG7" i="20" s="1"/>
  <c r="AJ7" i="20"/>
  <c r="AI7" i="20" s="1"/>
  <c r="AL7" i="20"/>
  <c r="AK7" i="20" s="1"/>
  <c r="AN7" i="20"/>
  <c r="AM7" i="20" s="1"/>
  <c r="AP7" i="20"/>
  <c r="AO7" i="20" s="1"/>
  <c r="AF8" i="20"/>
  <c r="AH8" i="20"/>
  <c r="AJ8" i="20"/>
  <c r="AI8" i="20" s="1"/>
  <c r="AL8" i="20"/>
  <c r="AK8" i="20" s="1"/>
  <c r="AN8" i="20"/>
  <c r="AM8" i="20" s="1"/>
  <c r="AP8" i="20"/>
  <c r="AO8" i="20" s="1"/>
  <c r="AF9" i="20"/>
  <c r="AH9" i="20"/>
  <c r="AJ9" i="20"/>
  <c r="AI9" i="20" s="1"/>
  <c r="AL9" i="20"/>
  <c r="AK9" i="20" s="1"/>
  <c r="AN9" i="20"/>
  <c r="AM9" i="20" s="1"/>
  <c r="AP9" i="20"/>
  <c r="AO9" i="20" s="1"/>
  <c r="AF10" i="20"/>
  <c r="AH10" i="20"/>
  <c r="AJ10" i="20"/>
  <c r="AI10" i="20" s="1"/>
  <c r="AL10" i="20"/>
  <c r="AK10" i="20" s="1"/>
  <c r="AN10" i="20"/>
  <c r="AM10" i="20" s="1"/>
  <c r="AP10" i="20"/>
  <c r="AO10" i="20" s="1"/>
  <c r="AF11" i="20"/>
  <c r="AH11" i="20"/>
  <c r="AJ11" i="20"/>
  <c r="AI11" i="20" s="1"/>
  <c r="AL11" i="20"/>
  <c r="AK11" i="20" s="1"/>
  <c r="AN11" i="20"/>
  <c r="AM11" i="20" s="1"/>
  <c r="AP11" i="20"/>
  <c r="AO11" i="20" s="1"/>
  <c r="AF12" i="20"/>
  <c r="AH12" i="20"/>
  <c r="AJ12" i="20"/>
  <c r="AI12" i="20" s="1"/>
  <c r="AL12" i="20"/>
  <c r="AK12" i="20" s="1"/>
  <c r="AN12" i="20"/>
  <c r="AM12" i="20" s="1"/>
  <c r="AP12" i="20"/>
  <c r="AO12" i="20" s="1"/>
  <c r="AF13" i="20"/>
  <c r="AH13" i="20"/>
  <c r="AJ13" i="20"/>
  <c r="AI13" i="20" s="1"/>
  <c r="AL13" i="20"/>
  <c r="AK13" i="20" s="1"/>
  <c r="AN13" i="20"/>
  <c r="AM13" i="20" s="1"/>
  <c r="AP13" i="20"/>
  <c r="AO13" i="20" s="1"/>
  <c r="AF14" i="20"/>
  <c r="AH14" i="20"/>
  <c r="AJ14" i="20"/>
  <c r="AI14" i="20" s="1"/>
  <c r="AL14" i="20"/>
  <c r="AK14" i="20" s="1"/>
  <c r="AN14" i="20"/>
  <c r="AM14" i="20" s="1"/>
  <c r="AP14" i="20"/>
  <c r="AO14" i="20" s="1"/>
  <c r="AF15" i="20"/>
  <c r="AH15" i="20"/>
  <c r="AJ15" i="20"/>
  <c r="AI15" i="20" s="1"/>
  <c r="AL15" i="20"/>
  <c r="AK15" i="20" s="1"/>
  <c r="AN15" i="20"/>
  <c r="AM15" i="20" s="1"/>
  <c r="AP15" i="20"/>
  <c r="AO15" i="20" s="1"/>
  <c r="AF16" i="20"/>
  <c r="AH16" i="20"/>
  <c r="AJ16" i="20"/>
  <c r="AI16" i="20" s="1"/>
  <c r="AL16" i="20"/>
  <c r="AK16" i="20" s="1"/>
  <c r="AN16" i="20"/>
  <c r="AM16" i="20" s="1"/>
  <c r="AP16" i="20"/>
  <c r="AO16" i="20" s="1"/>
  <c r="AO6" i="20"/>
  <c r="AP6" i="20"/>
  <c r="AN6" i="20"/>
  <c r="AM6" i="20" s="1"/>
  <c r="AL6" i="20"/>
  <c r="AK6" i="20" s="1"/>
  <c r="AJ6" i="20"/>
  <c r="AI6" i="20" s="1"/>
  <c r="AH6" i="20"/>
  <c r="AG6" i="20" s="1"/>
  <c r="AF6" i="20"/>
  <c r="AE6" i="20" s="1"/>
  <c r="K24" i="56" l="1"/>
  <c r="R24" i="56" s="1"/>
  <c r="K28" i="56"/>
  <c r="K23" i="56"/>
  <c r="R23" i="56" s="1"/>
  <c r="K22" i="56"/>
  <c r="R22" i="56" s="1"/>
  <c r="K21" i="56"/>
  <c r="R21" i="56" s="1"/>
  <c r="B154" i="56"/>
  <c r="C153" i="56" s="1"/>
  <c r="E151" i="56" s="1"/>
  <c r="H147" i="56" s="1"/>
  <c r="B116" i="56"/>
  <c r="C129" i="56" s="1"/>
  <c r="E128" i="56" s="1"/>
  <c r="H129" i="56" s="1"/>
  <c r="B152" i="56"/>
  <c r="C167" i="56" s="1"/>
  <c r="E166" i="56" s="1"/>
  <c r="H167" i="56" s="1"/>
  <c r="B150" i="56"/>
  <c r="C165" i="56" s="1"/>
  <c r="E171" i="56" s="1"/>
  <c r="H173" i="56" s="1"/>
  <c r="B148" i="56"/>
  <c r="C149" i="56" s="1"/>
  <c r="E157" i="56" s="1"/>
  <c r="H159" i="56" s="1"/>
  <c r="B146" i="56"/>
  <c r="C163" i="56" s="1"/>
  <c r="E169" i="56" s="1"/>
  <c r="H170" i="56" s="1"/>
  <c r="B144" i="56"/>
  <c r="C145" i="56" s="1"/>
  <c r="E155" i="56" s="1"/>
  <c r="H156" i="56" s="1"/>
  <c r="B142" i="56"/>
  <c r="C161" i="56" s="1"/>
  <c r="E162" i="56" s="1"/>
  <c r="H164" i="56" s="1"/>
  <c r="B140" i="56"/>
  <c r="C141" i="56" s="1"/>
  <c r="E143" i="56" s="1"/>
  <c r="H152" i="56" s="1"/>
  <c r="B114" i="56"/>
  <c r="C115" i="56" s="1"/>
  <c r="E119" i="56" s="1"/>
  <c r="H118" i="56" s="1"/>
  <c r="B112" i="56"/>
  <c r="C127" i="56" s="1"/>
  <c r="E133" i="56" s="1"/>
  <c r="H132" i="56" s="1"/>
  <c r="B110" i="56"/>
  <c r="C111" i="56" s="1"/>
  <c r="E113" i="56" s="1"/>
  <c r="H109" i="56" s="1"/>
  <c r="B108" i="56"/>
  <c r="C107" i="56" s="1"/>
  <c r="E105" i="56" s="1"/>
  <c r="H114" i="56" s="1"/>
  <c r="B106" i="56"/>
  <c r="C125" i="56" s="1"/>
  <c r="E131" i="56" s="1"/>
  <c r="H135" i="56" s="1"/>
  <c r="B104" i="56"/>
  <c r="C123" i="56" s="1"/>
  <c r="E124" i="56" s="1"/>
  <c r="H126" i="56" s="1"/>
  <c r="B102" i="56"/>
  <c r="C103" i="56" s="1"/>
  <c r="E117" i="56" s="1"/>
  <c r="H121" i="56" s="1"/>
  <c r="R28" i="56"/>
  <c r="T11" i="56"/>
  <c r="T10" i="56"/>
  <c r="T8" i="56"/>
  <c r="T7" i="56"/>
  <c r="K32" i="56"/>
  <c r="R32" i="56" s="1"/>
  <c r="K30" i="56"/>
  <c r="R30" i="56" s="1"/>
  <c r="K29" i="56"/>
  <c r="R29" i="56" s="1"/>
  <c r="K31" i="56"/>
  <c r="R31" i="56" s="1"/>
  <c r="K25" i="56"/>
  <c r="R25" i="56" s="1"/>
  <c r="T15" i="56"/>
  <c r="K15" i="56" s="1"/>
  <c r="R15" i="56" s="1"/>
  <c r="K11" i="55"/>
  <c r="K17" i="55"/>
  <c r="T32" i="55"/>
  <c r="K32" i="55" s="1"/>
  <c r="R32" i="55" s="1"/>
  <c r="K16" i="55"/>
  <c r="K18" i="55"/>
  <c r="R18" i="55" s="1"/>
  <c r="K7" i="55"/>
  <c r="K8" i="55"/>
  <c r="R8" i="55" s="1"/>
  <c r="K15" i="55"/>
  <c r="R15" i="55" s="1"/>
  <c r="K10" i="55"/>
  <c r="R10" i="55" s="1"/>
  <c r="T23" i="55"/>
  <c r="T21" i="55"/>
  <c r="K21" i="55" s="1"/>
  <c r="R21" i="55" s="1"/>
  <c r="R17" i="55"/>
  <c r="R16" i="55"/>
  <c r="R11" i="55"/>
  <c r="R7" i="55"/>
  <c r="K31" i="55"/>
  <c r="R31" i="55" s="1"/>
  <c r="K29" i="55"/>
  <c r="R29" i="55" s="1"/>
  <c r="K14" i="55"/>
  <c r="R14" i="55" s="1"/>
  <c r="B154" i="55"/>
  <c r="C153" i="55" s="1"/>
  <c r="E151" i="55" s="1"/>
  <c r="H147" i="55" s="1"/>
  <c r="B116" i="55"/>
  <c r="C129" i="55" s="1"/>
  <c r="E128" i="55" s="1"/>
  <c r="H129" i="55" s="1"/>
  <c r="B152" i="55"/>
  <c r="C167" i="55" s="1"/>
  <c r="E166" i="55" s="1"/>
  <c r="H167" i="55" s="1"/>
  <c r="B150" i="55"/>
  <c r="C165" i="55" s="1"/>
  <c r="E171" i="55" s="1"/>
  <c r="H173" i="55" s="1"/>
  <c r="B148" i="55"/>
  <c r="C149" i="55" s="1"/>
  <c r="E157" i="55" s="1"/>
  <c r="H159" i="55" s="1"/>
  <c r="B146" i="55"/>
  <c r="C163" i="55" s="1"/>
  <c r="E169" i="55" s="1"/>
  <c r="H170" i="55" s="1"/>
  <c r="B144" i="55"/>
  <c r="C145" i="55" s="1"/>
  <c r="E155" i="55" s="1"/>
  <c r="H156" i="55" s="1"/>
  <c r="B142" i="55"/>
  <c r="C161" i="55" s="1"/>
  <c r="E162" i="55" s="1"/>
  <c r="H164" i="55" s="1"/>
  <c r="B140" i="55"/>
  <c r="C141" i="55" s="1"/>
  <c r="E143" i="55" s="1"/>
  <c r="H152" i="55" s="1"/>
  <c r="B114" i="55"/>
  <c r="C115" i="55" s="1"/>
  <c r="E119" i="55" s="1"/>
  <c r="H118" i="55" s="1"/>
  <c r="B112" i="55"/>
  <c r="C127" i="55" s="1"/>
  <c r="E133" i="55" s="1"/>
  <c r="H132" i="55" s="1"/>
  <c r="B110" i="55"/>
  <c r="C111" i="55" s="1"/>
  <c r="E113" i="55" s="1"/>
  <c r="H109" i="55" s="1"/>
  <c r="B108" i="55"/>
  <c r="C107" i="55" s="1"/>
  <c r="E105" i="55" s="1"/>
  <c r="H114" i="55" s="1"/>
  <c r="B106" i="55"/>
  <c r="C125" i="55" s="1"/>
  <c r="E131" i="55" s="1"/>
  <c r="H135" i="55" s="1"/>
  <c r="B104" i="55"/>
  <c r="C123" i="55" s="1"/>
  <c r="E124" i="55" s="1"/>
  <c r="H126" i="55" s="1"/>
  <c r="B102" i="55"/>
  <c r="C103" i="55" s="1"/>
  <c r="E117" i="55" s="1"/>
  <c r="H121" i="55" s="1"/>
  <c r="K9" i="55"/>
  <c r="R9" i="55" s="1"/>
  <c r="K30" i="55"/>
  <c r="R30" i="55" s="1"/>
  <c r="K28" i="55"/>
  <c r="R28" i="55" s="1"/>
  <c r="K25" i="55"/>
  <c r="R25" i="55" s="1"/>
  <c r="K24" i="55"/>
  <c r="R24" i="55" s="1"/>
  <c r="K22" i="55"/>
  <c r="R22" i="55" s="1"/>
  <c r="AD295" i="15"/>
  <c r="AD293" i="15"/>
  <c r="AD291" i="15"/>
  <c r="AD289" i="15"/>
  <c r="AD287" i="15"/>
  <c r="AD297" i="15"/>
  <c r="AD283" i="15"/>
  <c r="AD279" i="15"/>
  <c r="AD275" i="15"/>
  <c r="AD271" i="15"/>
  <c r="AD269" i="15"/>
  <c r="AD265" i="15"/>
  <c r="AD261" i="15"/>
  <c r="AD257" i="15"/>
  <c r="AD253" i="15"/>
  <c r="AD249" i="15"/>
  <c r="AD245" i="15"/>
  <c r="AD241" i="15"/>
  <c r="AD237" i="15"/>
  <c r="AD233" i="15"/>
  <c r="AD229" i="15"/>
  <c r="AD225" i="15"/>
  <c r="AD221" i="15"/>
  <c r="AD217" i="15"/>
  <c r="AD215" i="15"/>
  <c r="AD213" i="15"/>
  <c r="AD211" i="15"/>
  <c r="AD209" i="15"/>
  <c r="AD207" i="15"/>
  <c r="AD205" i="15"/>
  <c r="AD203" i="15"/>
  <c r="AD201" i="15"/>
  <c r="AD199" i="15"/>
  <c r="AD197" i="15"/>
  <c r="AD195" i="15"/>
  <c r="AD180" i="15"/>
  <c r="AD178" i="15"/>
  <c r="AD174" i="15"/>
  <c r="AD170" i="15"/>
  <c r="AD166" i="15"/>
  <c r="AD162" i="15"/>
  <c r="AD158" i="15"/>
  <c r="AD154" i="15"/>
  <c r="AD150" i="15"/>
  <c r="AD146" i="15"/>
  <c r="AD142" i="15"/>
  <c r="AD138" i="15"/>
  <c r="AD134" i="15"/>
  <c r="AD130" i="15"/>
  <c r="AD126" i="15"/>
  <c r="AD121" i="15"/>
  <c r="AD119" i="15"/>
  <c r="AD117" i="15"/>
  <c r="AD115" i="15"/>
  <c r="AD113" i="15"/>
  <c r="AD111" i="15"/>
  <c r="AD109" i="15"/>
  <c r="AD107" i="15"/>
  <c r="AD105" i="15"/>
  <c r="AD103" i="15"/>
  <c r="AD101" i="15"/>
  <c r="AD99" i="15"/>
  <c r="AD97" i="15"/>
  <c r="AD95" i="15"/>
  <c r="AD93" i="15"/>
  <c r="AD91" i="15"/>
  <c r="AD89" i="15"/>
  <c r="AD86" i="15"/>
  <c r="AD82" i="15"/>
  <c r="AD78" i="15"/>
  <c r="AD74" i="15"/>
  <c r="AD70" i="15"/>
  <c r="AD66" i="15"/>
  <c r="AD62" i="15"/>
  <c r="AD58" i="15"/>
  <c r="AD54" i="15"/>
  <c r="AD50" i="15"/>
  <c r="AD46" i="15"/>
  <c r="AD43" i="15"/>
  <c r="AD39" i="15"/>
  <c r="AD35" i="15"/>
  <c r="AD31" i="15"/>
  <c r="AD27" i="15"/>
  <c r="AD23" i="15"/>
  <c r="AD285" i="15"/>
  <c r="AD281" i="15"/>
  <c r="AD277" i="15"/>
  <c r="AD273" i="15"/>
  <c r="AD267" i="15"/>
  <c r="AD263" i="15"/>
  <c r="AD259" i="15"/>
  <c r="AD255" i="15"/>
  <c r="AD251" i="15"/>
  <c r="AD247" i="15"/>
  <c r="AD243" i="15"/>
  <c r="AD239" i="15"/>
  <c r="AD235" i="15"/>
  <c r="AD231" i="15"/>
  <c r="AD227" i="15"/>
  <c r="AD223" i="15"/>
  <c r="AD219" i="15"/>
  <c r="AD193" i="15"/>
  <c r="AD191" i="15"/>
  <c r="AD189" i="15"/>
  <c r="AD187" i="15"/>
  <c r="AD185" i="15"/>
  <c r="AD183" i="15"/>
  <c r="AD176" i="15"/>
  <c r="AD172" i="15"/>
  <c r="AD168" i="15"/>
  <c r="AD164" i="15"/>
  <c r="AD160" i="15"/>
  <c r="AD156" i="15"/>
  <c r="AD152" i="15"/>
  <c r="AD148" i="15"/>
  <c r="AD144" i="15"/>
  <c r="AD140" i="15"/>
  <c r="AD136" i="15"/>
  <c r="AD132" i="15"/>
  <c r="AD128" i="15"/>
  <c r="AD124" i="15"/>
  <c r="AD84" i="15"/>
  <c r="AD80" i="15"/>
  <c r="AD76" i="15"/>
  <c r="AD72" i="15"/>
  <c r="AD68" i="15"/>
  <c r="AD64" i="15"/>
  <c r="AD60" i="15"/>
  <c r="AD56" i="15"/>
  <c r="AD52" i="15"/>
  <c r="AD48" i="15"/>
  <c r="AD44" i="15"/>
  <c r="AD25" i="15"/>
  <c r="AD296" i="15"/>
  <c r="AD294" i="15"/>
  <c r="AD292" i="15"/>
  <c r="AD290" i="15"/>
  <c r="AD288" i="15"/>
  <c r="AD286" i="15"/>
  <c r="AD284" i="15"/>
  <c r="AD282" i="15"/>
  <c r="AD280" i="15"/>
  <c r="AD278" i="15"/>
  <c r="AD276" i="15"/>
  <c r="AD274" i="15"/>
  <c r="AD272" i="15"/>
  <c r="AD270" i="15"/>
  <c r="AD268" i="15"/>
  <c r="AD266" i="15"/>
  <c r="AD264" i="15"/>
  <c r="AD262" i="15"/>
  <c r="AD260" i="15"/>
  <c r="AD258" i="15"/>
  <c r="AD256" i="15"/>
  <c r="AD254" i="15"/>
  <c r="AD252" i="15"/>
  <c r="AD250" i="15"/>
  <c r="AD248" i="15"/>
  <c r="AD246" i="15"/>
  <c r="AD244" i="15"/>
  <c r="AD242" i="15"/>
  <c r="AD240" i="15"/>
  <c r="AD238" i="15"/>
  <c r="AD236" i="15"/>
  <c r="AD234" i="15"/>
  <c r="AD232" i="15"/>
  <c r="AD230" i="15"/>
  <c r="AD228" i="15"/>
  <c r="AD226" i="15"/>
  <c r="AD224" i="15"/>
  <c r="AD222" i="15"/>
  <c r="AD220" i="15"/>
  <c r="AD218" i="15"/>
  <c r="AD216" i="15"/>
  <c r="AD214" i="15"/>
  <c r="AD212" i="15"/>
  <c r="AD210" i="15"/>
  <c r="AD208" i="15"/>
  <c r="AD206" i="15"/>
  <c r="AD204" i="15"/>
  <c r="AD202" i="15"/>
  <c r="AD200" i="15"/>
  <c r="AD198" i="15"/>
  <c r="AD196" i="15"/>
  <c r="AD194" i="15"/>
  <c r="AD190" i="15"/>
  <c r="AD186" i="15"/>
  <c r="AD182" i="15"/>
  <c r="AD181" i="15"/>
  <c r="AD179" i="15"/>
  <c r="AD192" i="15"/>
  <c r="AD188" i="15"/>
  <c r="AD184" i="15"/>
  <c r="AD175" i="15"/>
  <c r="AD171" i="15"/>
  <c r="AD167" i="15"/>
  <c r="AD163" i="15"/>
  <c r="AD159" i="15"/>
  <c r="AD155" i="15"/>
  <c r="AD151" i="15"/>
  <c r="AD147" i="15"/>
  <c r="AD143" i="15"/>
  <c r="AD139" i="15"/>
  <c r="AD135" i="15"/>
  <c r="AD131" i="15"/>
  <c r="AD127" i="15"/>
  <c r="AD123" i="15"/>
  <c r="AD122" i="15"/>
  <c r="AD120" i="15"/>
  <c r="AD118" i="15"/>
  <c r="AD116" i="15"/>
  <c r="AD114" i="15"/>
  <c r="AD112" i="15"/>
  <c r="AD110" i="15"/>
  <c r="AD108" i="15"/>
  <c r="AD106" i="15"/>
  <c r="AD104" i="15"/>
  <c r="AD102" i="15"/>
  <c r="AD100" i="15"/>
  <c r="AD98" i="15"/>
  <c r="AD96" i="15"/>
  <c r="AD94" i="15"/>
  <c r="AD92" i="15"/>
  <c r="AD90" i="15"/>
  <c r="AD177" i="15"/>
  <c r="AD173" i="15"/>
  <c r="AD169" i="15"/>
  <c r="AD165" i="15"/>
  <c r="AD161" i="15"/>
  <c r="AD157" i="15"/>
  <c r="AD153" i="15"/>
  <c r="AD149" i="15"/>
  <c r="AD145" i="15"/>
  <c r="AD141" i="15"/>
  <c r="AD137" i="15"/>
  <c r="AD133" i="15"/>
  <c r="AD129" i="15"/>
  <c r="AD125" i="15"/>
  <c r="AD88" i="15"/>
  <c r="AD85" i="15"/>
  <c r="AD81" i="15"/>
  <c r="AD77" i="15"/>
  <c r="AD73" i="15"/>
  <c r="AD69" i="15"/>
  <c r="AD65" i="15"/>
  <c r="AD61" i="15"/>
  <c r="AD57" i="15"/>
  <c r="AD53" i="15"/>
  <c r="AD49" i="15"/>
  <c r="AD45" i="15"/>
  <c r="AD38" i="15"/>
  <c r="AD37" i="15"/>
  <c r="AD30" i="15"/>
  <c r="AD29" i="15"/>
  <c r="AD87" i="15"/>
  <c r="AD83" i="15"/>
  <c r="AD79" i="15"/>
  <c r="AD75" i="15"/>
  <c r="AD71" i="15"/>
  <c r="AD67" i="15"/>
  <c r="AD63" i="15"/>
  <c r="AD59" i="15"/>
  <c r="AD55" i="15"/>
  <c r="AD51" i="15"/>
  <c r="AD47" i="15"/>
  <c r="AD42" i="15"/>
  <c r="AD41" i="15"/>
  <c r="AD34" i="15"/>
  <c r="AD33" i="15"/>
  <c r="AD40" i="15"/>
  <c r="AD36" i="15"/>
  <c r="AD32" i="15"/>
  <c r="AD28" i="15"/>
  <c r="AD24" i="15"/>
  <c r="AD26" i="15"/>
  <c r="AD22" i="15"/>
  <c r="AD6" i="18"/>
  <c r="AD6" i="19"/>
  <c r="AD7" i="11"/>
  <c r="AD6" i="11"/>
  <c r="AD6" i="12"/>
  <c r="AD6" i="14"/>
  <c r="AD6" i="15"/>
  <c r="AD6" i="16"/>
  <c r="AD6" i="17"/>
  <c r="AD6" i="13"/>
  <c r="AD7" i="20"/>
  <c r="AD6" i="20"/>
  <c r="A4" i="32"/>
  <c r="A3" i="32"/>
  <c r="A2" i="32"/>
  <c r="A1" i="32"/>
  <c r="Q60" i="54"/>
  <c r="T60" i="54" s="1"/>
  <c r="P60" i="54"/>
  <c r="Q59" i="54"/>
  <c r="P59" i="54"/>
  <c r="Q58" i="54"/>
  <c r="P58" i="54"/>
  <c r="Q57" i="54"/>
  <c r="P57" i="54"/>
  <c r="Q56" i="54"/>
  <c r="P56" i="54"/>
  <c r="R55" i="54"/>
  <c r="Q53" i="54"/>
  <c r="T53" i="54" s="1"/>
  <c r="P53" i="54"/>
  <c r="Q52" i="54"/>
  <c r="T52" i="54" s="1"/>
  <c r="P52" i="54"/>
  <c r="Q51" i="54"/>
  <c r="T51" i="54" s="1"/>
  <c r="P51" i="54"/>
  <c r="Q50" i="54"/>
  <c r="T50" i="54" s="1"/>
  <c r="P50" i="54"/>
  <c r="Q49" i="54"/>
  <c r="T49" i="54" s="1"/>
  <c r="P49" i="54"/>
  <c r="R48" i="54"/>
  <c r="R46" i="54"/>
  <c r="S46" i="54" s="1"/>
  <c r="Q46" i="54"/>
  <c r="T46" i="54" s="1"/>
  <c r="P46" i="54"/>
  <c r="Q45" i="54"/>
  <c r="T45" i="54" s="1"/>
  <c r="P45" i="54"/>
  <c r="Q44" i="54"/>
  <c r="T44" i="54" s="1"/>
  <c r="P44" i="54"/>
  <c r="Q43" i="54"/>
  <c r="T43" i="54" s="1"/>
  <c r="P43" i="54"/>
  <c r="Q42" i="54"/>
  <c r="T42" i="54" s="1"/>
  <c r="P42" i="54"/>
  <c r="R41" i="54"/>
  <c r="Q39" i="54"/>
  <c r="T39" i="54" s="1"/>
  <c r="P39" i="54"/>
  <c r="Q38" i="54"/>
  <c r="P38" i="54"/>
  <c r="Q37" i="54"/>
  <c r="P37" i="54"/>
  <c r="Q36" i="54"/>
  <c r="P36" i="54"/>
  <c r="Q35" i="54"/>
  <c r="P35" i="54"/>
  <c r="R34" i="54"/>
  <c r="P32" i="54"/>
  <c r="O32" i="54"/>
  <c r="N32" i="54"/>
  <c r="H32" i="54"/>
  <c r="Q32" i="54" s="1"/>
  <c r="P31" i="54"/>
  <c r="O31" i="54"/>
  <c r="N31" i="54"/>
  <c r="H31" i="54"/>
  <c r="Q31" i="54" s="1"/>
  <c r="P30" i="54"/>
  <c r="O30" i="54"/>
  <c r="N30" i="54"/>
  <c r="H30" i="54"/>
  <c r="Q30" i="54" s="1"/>
  <c r="P29" i="54"/>
  <c r="O29" i="54"/>
  <c r="N29" i="54"/>
  <c r="H29" i="54"/>
  <c r="Q29" i="54" s="1"/>
  <c r="P28" i="54"/>
  <c r="O28" i="54"/>
  <c r="N28" i="54"/>
  <c r="H28" i="54"/>
  <c r="Q28" i="54" s="1"/>
  <c r="R27" i="54"/>
  <c r="P25" i="54"/>
  <c r="O25" i="54"/>
  <c r="N25" i="54"/>
  <c r="H25" i="54"/>
  <c r="Q25" i="54" s="1"/>
  <c r="P24" i="54"/>
  <c r="O24" i="54"/>
  <c r="N24" i="54"/>
  <c r="H24" i="54"/>
  <c r="Q24" i="54" s="1"/>
  <c r="P23" i="54"/>
  <c r="O23" i="54"/>
  <c r="N23" i="54"/>
  <c r="H23" i="54"/>
  <c r="Q23" i="54" s="1"/>
  <c r="P22" i="54"/>
  <c r="O22" i="54"/>
  <c r="N22" i="54"/>
  <c r="H22" i="54"/>
  <c r="Q22" i="54" s="1"/>
  <c r="P21" i="54"/>
  <c r="O21" i="54"/>
  <c r="N21" i="54"/>
  <c r="H21" i="54"/>
  <c r="Q21" i="54" s="1"/>
  <c r="R20" i="54"/>
  <c r="I24" i="54" s="1"/>
  <c r="P18" i="54"/>
  <c r="O18" i="54"/>
  <c r="N18" i="54"/>
  <c r="H18" i="54"/>
  <c r="Q18" i="54" s="1"/>
  <c r="P17" i="54"/>
  <c r="O17" i="54"/>
  <c r="N17" i="54"/>
  <c r="H17" i="54"/>
  <c r="Q17" i="54" s="1"/>
  <c r="P16" i="54"/>
  <c r="O16" i="54"/>
  <c r="N16" i="54"/>
  <c r="H16" i="54"/>
  <c r="Q16" i="54" s="1"/>
  <c r="P15" i="54"/>
  <c r="O15" i="54"/>
  <c r="N15" i="54"/>
  <c r="H15" i="54"/>
  <c r="Q15" i="54" s="1"/>
  <c r="P14" i="54"/>
  <c r="O14" i="54"/>
  <c r="N14" i="54"/>
  <c r="H14" i="54"/>
  <c r="Q14" i="54" s="1"/>
  <c r="J18" i="54" s="1"/>
  <c r="T18" i="54" s="1"/>
  <c r="R13" i="54"/>
  <c r="P11" i="54"/>
  <c r="O11" i="54"/>
  <c r="N11" i="54"/>
  <c r="H11" i="54"/>
  <c r="Q11" i="54" s="1"/>
  <c r="P10" i="54"/>
  <c r="O10" i="54"/>
  <c r="N10" i="54"/>
  <c r="H10" i="54"/>
  <c r="Q10" i="54" s="1"/>
  <c r="P9" i="54"/>
  <c r="O9" i="54"/>
  <c r="N9" i="54"/>
  <c r="H9" i="54"/>
  <c r="Q9" i="54" s="1"/>
  <c r="P8" i="54"/>
  <c r="O8" i="54"/>
  <c r="N8" i="54"/>
  <c r="H8" i="54"/>
  <c r="Q8" i="54" s="1"/>
  <c r="P7" i="54"/>
  <c r="O7" i="54"/>
  <c r="N7" i="54"/>
  <c r="H7" i="54"/>
  <c r="Q7" i="54" s="1"/>
  <c r="R6" i="54"/>
  <c r="I11" i="54" s="1"/>
  <c r="E42" i="2"/>
  <c r="E41" i="2"/>
  <c r="E40" i="2"/>
  <c r="K7" i="56" l="1"/>
  <c r="R7" i="56" s="1"/>
  <c r="M30" i="56"/>
  <c r="S30" i="56" s="1"/>
  <c r="M25" i="56"/>
  <c r="S25" i="56" s="1"/>
  <c r="M29" i="56"/>
  <c r="S29" i="56" s="1"/>
  <c r="M24" i="56"/>
  <c r="S24" i="56" s="1"/>
  <c r="M32" i="56"/>
  <c r="S32" i="56" s="1"/>
  <c r="K8" i="56"/>
  <c r="R8" i="56" s="1"/>
  <c r="K10" i="56"/>
  <c r="R10" i="56" s="1"/>
  <c r="M28" i="56"/>
  <c r="S28" i="56" s="1"/>
  <c r="M22" i="56"/>
  <c r="S22" i="56" s="1"/>
  <c r="K18" i="56"/>
  <c r="R18" i="56" s="1"/>
  <c r="K17" i="56"/>
  <c r="R17" i="56" s="1"/>
  <c r="M31" i="56"/>
  <c r="S31" i="56" s="1"/>
  <c r="K11" i="56"/>
  <c r="R11" i="56" s="1"/>
  <c r="K16" i="56"/>
  <c r="R16" i="56" s="1"/>
  <c r="M21" i="56"/>
  <c r="S21" i="56" s="1"/>
  <c r="M23" i="56"/>
  <c r="S23" i="56" s="1"/>
  <c r="K9" i="56"/>
  <c r="R9" i="56" s="1"/>
  <c r="K14" i="56"/>
  <c r="R14" i="56" s="1"/>
  <c r="R42" i="54"/>
  <c r="S42" i="54" s="1"/>
  <c r="R44" i="54"/>
  <c r="S44" i="54" s="1"/>
  <c r="I25" i="54"/>
  <c r="R43" i="54"/>
  <c r="S43" i="54" s="1"/>
  <c r="R45" i="54"/>
  <c r="S45" i="54" s="1"/>
  <c r="M30" i="55"/>
  <c r="S30" i="55" s="1"/>
  <c r="M14" i="55"/>
  <c r="S14" i="55" s="1"/>
  <c r="M31" i="55"/>
  <c r="S31" i="55" s="1"/>
  <c r="M10" i="55"/>
  <c r="S10" i="55" s="1"/>
  <c r="M28" i="55"/>
  <c r="S28" i="55" s="1"/>
  <c r="M32" i="55"/>
  <c r="S32" i="55" s="1"/>
  <c r="M9" i="55"/>
  <c r="S9" i="55" s="1"/>
  <c r="M29" i="55"/>
  <c r="S29" i="55" s="1"/>
  <c r="M15" i="55"/>
  <c r="S15" i="55" s="1"/>
  <c r="M8" i="55"/>
  <c r="S8" i="55" s="1"/>
  <c r="M17" i="55"/>
  <c r="S17" i="55" s="1"/>
  <c r="K23" i="55"/>
  <c r="R23" i="55" s="1"/>
  <c r="M7" i="55"/>
  <c r="S7" i="55" s="1"/>
  <c r="M11" i="55"/>
  <c r="S11" i="55" s="1"/>
  <c r="M16" i="55"/>
  <c r="S16" i="55" s="1"/>
  <c r="M18" i="55"/>
  <c r="S18" i="55" s="1"/>
  <c r="I7" i="54"/>
  <c r="I8" i="54"/>
  <c r="I9" i="54"/>
  <c r="I10" i="54"/>
  <c r="I21" i="54"/>
  <c r="I22" i="54"/>
  <c r="I23" i="54"/>
  <c r="J32" i="54"/>
  <c r="T32" i="54" s="1"/>
  <c r="J14" i="54"/>
  <c r="L14" i="54"/>
  <c r="L15" i="54"/>
  <c r="L16" i="54"/>
  <c r="L17" i="54"/>
  <c r="L18" i="54"/>
  <c r="L21" i="54"/>
  <c r="J21" i="54"/>
  <c r="I18" i="54"/>
  <c r="I17" i="54"/>
  <c r="I16" i="54"/>
  <c r="I15" i="54"/>
  <c r="J7" i="54"/>
  <c r="T7" i="54" s="1"/>
  <c r="L7" i="54"/>
  <c r="J8" i="54"/>
  <c r="T8" i="54" s="1"/>
  <c r="L8" i="54"/>
  <c r="J9" i="54"/>
  <c r="T9" i="54" s="1"/>
  <c r="L9" i="54"/>
  <c r="J10" i="54"/>
  <c r="T10" i="54" s="1"/>
  <c r="L10" i="54"/>
  <c r="J11" i="54"/>
  <c r="T11" i="54" s="1"/>
  <c r="K11" i="54" s="1"/>
  <c r="L11" i="54"/>
  <c r="I14" i="54"/>
  <c r="T14" i="54"/>
  <c r="J15" i="54"/>
  <c r="T15" i="54" s="1"/>
  <c r="J16" i="54"/>
  <c r="T16" i="54" s="1"/>
  <c r="J17" i="54"/>
  <c r="T17" i="54" s="1"/>
  <c r="L24" i="54"/>
  <c r="J24" i="54"/>
  <c r="T24" i="54" s="1"/>
  <c r="L25" i="54"/>
  <c r="J25" i="54"/>
  <c r="T25" i="54" s="1"/>
  <c r="L28" i="54"/>
  <c r="L29" i="54"/>
  <c r="L30" i="54"/>
  <c r="L31" i="54"/>
  <c r="L32" i="54"/>
  <c r="T35" i="54"/>
  <c r="R35" i="54"/>
  <c r="S35" i="54" s="1"/>
  <c r="T36" i="54"/>
  <c r="R36" i="54"/>
  <c r="S36" i="54" s="1"/>
  <c r="T37" i="54"/>
  <c r="R37" i="54"/>
  <c r="S37" i="54" s="1"/>
  <c r="T38" i="54"/>
  <c r="R38" i="54"/>
  <c r="S38" i="54" s="1"/>
  <c r="J22" i="54"/>
  <c r="T22" i="54" s="1"/>
  <c r="L22" i="54"/>
  <c r="J23" i="54"/>
  <c r="T23" i="54" s="1"/>
  <c r="L23" i="54"/>
  <c r="I32" i="54"/>
  <c r="I31" i="54"/>
  <c r="I30" i="54"/>
  <c r="I29" i="54"/>
  <c r="I28" i="54"/>
  <c r="J28" i="54"/>
  <c r="J29" i="54"/>
  <c r="T29" i="54" s="1"/>
  <c r="J30" i="54"/>
  <c r="T30" i="54" s="1"/>
  <c r="J31" i="54"/>
  <c r="T31" i="54" s="1"/>
  <c r="R39" i="54"/>
  <c r="S39" i="54" s="1"/>
  <c r="R49" i="54"/>
  <c r="S49" i="54" s="1"/>
  <c r="R50" i="54"/>
  <c r="S50" i="54" s="1"/>
  <c r="R51" i="54"/>
  <c r="S51" i="54" s="1"/>
  <c r="R52" i="54"/>
  <c r="S52" i="54" s="1"/>
  <c r="R53" i="54"/>
  <c r="S53" i="54" s="1"/>
  <c r="T56" i="54"/>
  <c r="R56" i="54"/>
  <c r="S56" i="54" s="1"/>
  <c r="T57" i="54"/>
  <c r="R57" i="54"/>
  <c r="S57" i="54" s="1"/>
  <c r="T58" i="54"/>
  <c r="R58" i="54"/>
  <c r="S58" i="54" s="1"/>
  <c r="T59" i="54"/>
  <c r="R59" i="54"/>
  <c r="S59" i="54" s="1"/>
  <c r="R60" i="54"/>
  <c r="S60" i="54" s="1"/>
  <c r="R11" i="54" l="1"/>
  <c r="M14" i="56"/>
  <c r="S14" i="56" s="1"/>
  <c r="M9" i="56"/>
  <c r="S9" i="56" s="1"/>
  <c r="M11" i="56"/>
  <c r="S11" i="56" s="1"/>
  <c r="M18" i="56"/>
  <c r="S18" i="56" s="1"/>
  <c r="M8" i="56"/>
  <c r="S8" i="56" s="1"/>
  <c r="M7" i="56"/>
  <c r="S7" i="56" s="1"/>
  <c r="M15" i="56"/>
  <c r="S15" i="56" s="1"/>
  <c r="M16" i="56"/>
  <c r="S16" i="56" s="1"/>
  <c r="M17" i="56"/>
  <c r="S17" i="56" s="1"/>
  <c r="M10" i="56"/>
  <c r="S10" i="56" s="1"/>
  <c r="M23" i="55"/>
  <c r="S23" i="55" s="1"/>
  <c r="M24" i="55"/>
  <c r="S24" i="55" s="1"/>
  <c r="M21" i="55"/>
  <c r="S21" i="55" s="1"/>
  <c r="M25" i="55"/>
  <c r="S25" i="55" s="1"/>
  <c r="M22" i="55"/>
  <c r="S22" i="55" s="1"/>
  <c r="B154" i="54"/>
  <c r="C153" i="54" s="1"/>
  <c r="E151" i="54" s="1"/>
  <c r="H147" i="54" s="1"/>
  <c r="K16" i="54"/>
  <c r="K17" i="54"/>
  <c r="K15" i="54"/>
  <c r="K10" i="54"/>
  <c r="R10" i="54" s="1"/>
  <c r="K9" i="54"/>
  <c r="R9" i="54" s="1"/>
  <c r="K8" i="54"/>
  <c r="R8" i="54" s="1"/>
  <c r="K7" i="54"/>
  <c r="R7" i="54" s="1"/>
  <c r="K18" i="54"/>
  <c r="R18" i="54" s="1"/>
  <c r="T28" i="54"/>
  <c r="K30" i="54" s="1"/>
  <c r="R30" i="54" s="1"/>
  <c r="B102" i="54"/>
  <c r="C103" i="54" s="1"/>
  <c r="E117" i="54" s="1"/>
  <c r="H121" i="54" s="1"/>
  <c r="B106" i="54"/>
  <c r="C125" i="54" s="1"/>
  <c r="E131" i="54" s="1"/>
  <c r="H135" i="54" s="1"/>
  <c r="B110" i="54"/>
  <c r="C111" i="54" s="1"/>
  <c r="E113" i="54" s="1"/>
  <c r="H109" i="54" s="1"/>
  <c r="B114" i="54"/>
  <c r="C115" i="54" s="1"/>
  <c r="E119" i="54" s="1"/>
  <c r="H118" i="54" s="1"/>
  <c r="B142" i="54"/>
  <c r="C161" i="54" s="1"/>
  <c r="E162" i="54" s="1"/>
  <c r="H164" i="54" s="1"/>
  <c r="B146" i="54"/>
  <c r="C163" i="54" s="1"/>
  <c r="E169" i="54" s="1"/>
  <c r="H170" i="54" s="1"/>
  <c r="B150" i="54"/>
  <c r="C165" i="54" s="1"/>
  <c r="E171" i="54" s="1"/>
  <c r="H173" i="54" s="1"/>
  <c r="B116" i="54"/>
  <c r="C129" i="54" s="1"/>
  <c r="E128" i="54" s="1"/>
  <c r="H129" i="54" s="1"/>
  <c r="T21" i="54"/>
  <c r="K21" i="54" s="1"/>
  <c r="R21" i="54" s="1"/>
  <c r="R17" i="54"/>
  <c r="R16" i="54"/>
  <c r="R15" i="54"/>
  <c r="K14" i="54"/>
  <c r="R14" i="54" s="1"/>
  <c r="B104" i="54"/>
  <c r="C123" i="54" s="1"/>
  <c r="E124" i="54" s="1"/>
  <c r="H126" i="54" s="1"/>
  <c r="B108" i="54"/>
  <c r="C107" i="54" s="1"/>
  <c r="E105" i="54" s="1"/>
  <c r="H114" i="54" s="1"/>
  <c r="B112" i="54"/>
  <c r="C127" i="54" s="1"/>
  <c r="E133" i="54" s="1"/>
  <c r="H132" i="54" s="1"/>
  <c r="B140" i="54"/>
  <c r="C141" i="54" s="1"/>
  <c r="E143" i="54" s="1"/>
  <c r="H152" i="54" s="1"/>
  <c r="B144" i="54"/>
  <c r="C145" i="54" s="1"/>
  <c r="E155" i="54" s="1"/>
  <c r="H156" i="54" s="1"/>
  <c r="B148" i="54"/>
  <c r="C149" i="54" s="1"/>
  <c r="E157" i="54" s="1"/>
  <c r="H159" i="54" s="1"/>
  <c r="B152" i="54"/>
  <c r="C167" i="54" s="1"/>
  <c r="E166" i="54" s="1"/>
  <c r="H167" i="54" s="1"/>
  <c r="M11" i="54" l="1"/>
  <c r="S11" i="54" s="1"/>
  <c r="M15" i="54"/>
  <c r="S15" i="54" s="1"/>
  <c r="M17" i="54"/>
  <c r="S17" i="54" s="1"/>
  <c r="K22" i="54"/>
  <c r="R22" i="54" s="1"/>
  <c r="K29" i="54"/>
  <c r="R29" i="54" s="1"/>
  <c r="K25" i="54"/>
  <c r="R25" i="54" s="1"/>
  <c r="M8" i="54"/>
  <c r="S8" i="54" s="1"/>
  <c r="M10" i="54"/>
  <c r="S10" i="54" s="1"/>
  <c r="M14" i="54"/>
  <c r="S14" i="54" s="1"/>
  <c r="M16" i="54"/>
  <c r="S16" i="54" s="1"/>
  <c r="K28" i="54"/>
  <c r="R28" i="54" s="1"/>
  <c r="K32" i="54"/>
  <c r="R32" i="54" s="1"/>
  <c r="M18" i="54"/>
  <c r="S18" i="54" s="1"/>
  <c r="K23" i="54"/>
  <c r="R23" i="54" s="1"/>
  <c r="K31" i="54"/>
  <c r="R31" i="54" s="1"/>
  <c r="M7" i="54"/>
  <c r="S7" i="54" s="1"/>
  <c r="M9" i="54"/>
  <c r="S9" i="54" s="1"/>
  <c r="K24" i="54"/>
  <c r="R24" i="54" s="1"/>
  <c r="M21" i="54" l="1"/>
  <c r="S21" i="54" s="1"/>
  <c r="M24" i="54"/>
  <c r="S24" i="54" s="1"/>
  <c r="M23" i="54"/>
  <c r="S23" i="54" s="1"/>
  <c r="M28" i="54"/>
  <c r="S28" i="54" s="1"/>
  <c r="M29" i="54"/>
  <c r="S29" i="54" s="1"/>
  <c r="M30" i="54"/>
  <c r="S30" i="54" s="1"/>
  <c r="M31" i="54"/>
  <c r="S31" i="54" s="1"/>
  <c r="M32" i="54"/>
  <c r="S32" i="54" s="1"/>
  <c r="M25" i="54"/>
  <c r="S25" i="54" s="1"/>
  <c r="M22" i="54"/>
  <c r="S22" i="54" s="1"/>
  <c r="P12" i="4" l="1"/>
  <c r="Q12" i="4"/>
  <c r="R12" i="4"/>
  <c r="S12" i="4"/>
  <c r="T12" i="4"/>
  <c r="V12" i="4"/>
  <c r="X12" i="4"/>
  <c r="Y12" i="4"/>
  <c r="AA12" i="4"/>
  <c r="AB12" i="4"/>
  <c r="P9" i="4"/>
  <c r="Q9" i="4"/>
  <c r="R9" i="4"/>
  <c r="S9" i="4"/>
  <c r="T9" i="4"/>
  <c r="V9" i="4"/>
  <c r="X9" i="4"/>
  <c r="Y9" i="4"/>
  <c r="AA9" i="4"/>
  <c r="AB9" i="4"/>
  <c r="P13" i="4"/>
  <c r="Q13" i="4"/>
  <c r="R13" i="4"/>
  <c r="S13" i="4"/>
  <c r="T13" i="4"/>
  <c r="V13" i="4"/>
  <c r="X13" i="4"/>
  <c r="Y13" i="4"/>
  <c r="AA13" i="4"/>
  <c r="AB13" i="4"/>
  <c r="P14" i="4"/>
  <c r="Q14" i="4"/>
  <c r="R14" i="4"/>
  <c r="S14" i="4"/>
  <c r="T14" i="4"/>
  <c r="V14" i="4"/>
  <c r="X14" i="4"/>
  <c r="Y14" i="4"/>
  <c r="AA14" i="4"/>
  <c r="AB14" i="4"/>
  <c r="P10" i="4"/>
  <c r="Q10" i="4"/>
  <c r="R10" i="4"/>
  <c r="S10" i="4"/>
  <c r="T10" i="4"/>
  <c r="V10" i="4"/>
  <c r="X10" i="4"/>
  <c r="Y10" i="4"/>
  <c r="AA10" i="4"/>
  <c r="AB10" i="4"/>
  <c r="P15" i="4"/>
  <c r="Q15" i="4"/>
  <c r="R15" i="4"/>
  <c r="S15" i="4"/>
  <c r="T15" i="4"/>
  <c r="V15" i="4"/>
  <c r="X15" i="4"/>
  <c r="Y15" i="4"/>
  <c r="AA15" i="4"/>
  <c r="AB15" i="4"/>
  <c r="P11" i="4"/>
  <c r="Q11" i="4"/>
  <c r="R11" i="4"/>
  <c r="S11" i="4"/>
  <c r="T11" i="4"/>
  <c r="V11" i="4"/>
  <c r="X11" i="4"/>
  <c r="Y11" i="4"/>
  <c r="AA11" i="4"/>
  <c r="AB11" i="4"/>
  <c r="P16" i="4"/>
  <c r="Q16" i="4"/>
  <c r="R16" i="4"/>
  <c r="S16" i="4"/>
  <c r="T16" i="4"/>
  <c r="V16" i="4"/>
  <c r="X16" i="4"/>
  <c r="Y16" i="4"/>
  <c r="AA16" i="4"/>
  <c r="AB16" i="4"/>
  <c r="P17" i="4"/>
  <c r="Q17" i="4"/>
  <c r="R17" i="4"/>
  <c r="S17" i="4"/>
  <c r="T17" i="4"/>
  <c r="V17" i="4"/>
  <c r="X17" i="4"/>
  <c r="Y17" i="4"/>
  <c r="AA17" i="4"/>
  <c r="AB17" i="4"/>
  <c r="P20" i="4"/>
  <c r="Q20" i="4"/>
  <c r="R20" i="4"/>
  <c r="S20" i="4"/>
  <c r="T20" i="4"/>
  <c r="V20" i="4"/>
  <c r="X20" i="4"/>
  <c r="Y20" i="4"/>
  <c r="AA20" i="4"/>
  <c r="AB20" i="4"/>
  <c r="P22" i="4"/>
  <c r="Q22" i="4"/>
  <c r="R22" i="4"/>
  <c r="S22" i="4"/>
  <c r="T22" i="4"/>
  <c r="V22" i="4"/>
  <c r="X22" i="4"/>
  <c r="Y22" i="4"/>
  <c r="AA22" i="4"/>
  <c r="AB22" i="4"/>
  <c r="P19" i="4"/>
  <c r="Q19" i="4"/>
  <c r="R19" i="4"/>
  <c r="S19" i="4"/>
  <c r="T19" i="4"/>
  <c r="V19" i="4"/>
  <c r="X19" i="4"/>
  <c r="Y19" i="4"/>
  <c r="AA19" i="4"/>
  <c r="AB19" i="4"/>
  <c r="P23" i="4"/>
  <c r="Q23" i="4"/>
  <c r="R23" i="4"/>
  <c r="S23" i="4"/>
  <c r="T23" i="4"/>
  <c r="V23" i="4"/>
  <c r="X23" i="4"/>
  <c r="Y23" i="4"/>
  <c r="AA23" i="4"/>
  <c r="AB23" i="4"/>
  <c r="P18" i="4"/>
  <c r="Q18" i="4"/>
  <c r="R18" i="4"/>
  <c r="S18" i="4"/>
  <c r="T18" i="4"/>
  <c r="V18" i="4"/>
  <c r="X18" i="4"/>
  <c r="Y18" i="4"/>
  <c r="AA18" i="4"/>
  <c r="AB18" i="4"/>
  <c r="P21" i="4"/>
  <c r="Q21" i="4"/>
  <c r="R21" i="4"/>
  <c r="S21" i="4"/>
  <c r="T21" i="4"/>
  <c r="V21" i="4"/>
  <c r="X21" i="4"/>
  <c r="Y21" i="4"/>
  <c r="AA21" i="4"/>
  <c r="AB21" i="4"/>
  <c r="P24" i="4"/>
  <c r="Q24" i="4"/>
  <c r="R24" i="4"/>
  <c r="S24" i="4"/>
  <c r="T24" i="4"/>
  <c r="V24" i="4"/>
  <c r="X24" i="4"/>
  <c r="Y24" i="4"/>
  <c r="AA24" i="4"/>
  <c r="AB24" i="4"/>
  <c r="P26" i="4"/>
  <c r="Q26" i="4"/>
  <c r="R26" i="4"/>
  <c r="S26" i="4"/>
  <c r="T26" i="4"/>
  <c r="V26" i="4"/>
  <c r="X26" i="4"/>
  <c r="Y26" i="4"/>
  <c r="AA26" i="4"/>
  <c r="AB26" i="4"/>
  <c r="P25" i="4"/>
  <c r="Q25" i="4"/>
  <c r="R25" i="4"/>
  <c r="S25" i="4"/>
  <c r="T25" i="4"/>
  <c r="V25" i="4"/>
  <c r="X25" i="4"/>
  <c r="Y25" i="4"/>
  <c r="AA25" i="4"/>
  <c r="AB25" i="4"/>
  <c r="P27" i="4"/>
  <c r="Q27" i="4"/>
  <c r="R27" i="4"/>
  <c r="S27" i="4"/>
  <c r="T27" i="4"/>
  <c r="V27" i="4"/>
  <c r="X27" i="4"/>
  <c r="Y27" i="4"/>
  <c r="AA27" i="4"/>
  <c r="AB27" i="4"/>
  <c r="P28" i="4"/>
  <c r="Q28" i="4"/>
  <c r="R28" i="4"/>
  <c r="S28" i="4"/>
  <c r="T28" i="4"/>
  <c r="V28" i="4"/>
  <c r="X28" i="4"/>
  <c r="Y28" i="4"/>
  <c r="AA28" i="4"/>
  <c r="AB28" i="4"/>
  <c r="P29" i="4"/>
  <c r="Q29" i="4"/>
  <c r="R29" i="4"/>
  <c r="S29" i="4"/>
  <c r="T29" i="4"/>
  <c r="V29" i="4"/>
  <c r="X29" i="4"/>
  <c r="Y29" i="4"/>
  <c r="AA29" i="4"/>
  <c r="AB29" i="4"/>
  <c r="P31" i="4"/>
  <c r="Q31" i="4"/>
  <c r="R31" i="4"/>
  <c r="S31" i="4"/>
  <c r="T31" i="4"/>
  <c r="V31" i="4"/>
  <c r="X31" i="4"/>
  <c r="Y31" i="4"/>
  <c r="AA31" i="4"/>
  <c r="AB31" i="4"/>
  <c r="P34" i="4"/>
  <c r="Q34" i="4"/>
  <c r="R34" i="4"/>
  <c r="S34" i="4"/>
  <c r="T34" i="4"/>
  <c r="V34" i="4"/>
  <c r="X34" i="4"/>
  <c r="Y34" i="4"/>
  <c r="AA34" i="4"/>
  <c r="AB34" i="4"/>
  <c r="P33" i="4"/>
  <c r="Q33" i="4"/>
  <c r="R33" i="4"/>
  <c r="S33" i="4"/>
  <c r="T33" i="4"/>
  <c r="V33" i="4"/>
  <c r="X33" i="4"/>
  <c r="Y33" i="4"/>
  <c r="AA33" i="4"/>
  <c r="AB33" i="4"/>
  <c r="P35" i="4"/>
  <c r="Q35" i="4"/>
  <c r="R35" i="4"/>
  <c r="S35" i="4"/>
  <c r="T35" i="4"/>
  <c r="V35" i="4"/>
  <c r="X35" i="4"/>
  <c r="Y35" i="4"/>
  <c r="AA35" i="4"/>
  <c r="AB35" i="4"/>
  <c r="P36" i="4"/>
  <c r="Q36" i="4"/>
  <c r="R36" i="4"/>
  <c r="S36" i="4"/>
  <c r="T36" i="4"/>
  <c r="V36" i="4"/>
  <c r="X36" i="4"/>
  <c r="Y36" i="4"/>
  <c r="AA36" i="4"/>
  <c r="AB36" i="4"/>
  <c r="P37" i="4"/>
  <c r="Q37" i="4"/>
  <c r="R37" i="4"/>
  <c r="S37" i="4"/>
  <c r="T37" i="4"/>
  <c r="V37" i="4"/>
  <c r="X37" i="4"/>
  <c r="Y37" i="4"/>
  <c r="AA37" i="4"/>
  <c r="AB37" i="4"/>
  <c r="P30" i="4"/>
  <c r="Q30" i="4"/>
  <c r="R30" i="4"/>
  <c r="S30" i="4"/>
  <c r="T30" i="4"/>
  <c r="V30" i="4"/>
  <c r="X30" i="4"/>
  <c r="Y30" i="4"/>
  <c r="AA30" i="4"/>
  <c r="AB30" i="4"/>
  <c r="P32" i="4"/>
  <c r="Q32" i="4"/>
  <c r="R32" i="4"/>
  <c r="S32" i="4"/>
  <c r="T32" i="4"/>
  <c r="V32" i="4"/>
  <c r="X32" i="4"/>
  <c r="Y32" i="4"/>
  <c r="AA32" i="4"/>
  <c r="AB32" i="4"/>
  <c r="P39" i="4"/>
  <c r="Q39" i="4"/>
  <c r="R39" i="4"/>
  <c r="S39" i="4"/>
  <c r="T39" i="4"/>
  <c r="V39" i="4"/>
  <c r="X39" i="4"/>
  <c r="Y39" i="4"/>
  <c r="AA39" i="4"/>
  <c r="AB39" i="4"/>
  <c r="P38" i="4"/>
  <c r="Q38" i="4"/>
  <c r="R38" i="4"/>
  <c r="S38" i="4"/>
  <c r="T38" i="4"/>
  <c r="V38" i="4"/>
  <c r="X38" i="4"/>
  <c r="Y38" i="4"/>
  <c r="AA38" i="4"/>
  <c r="AB38" i="4"/>
  <c r="P45" i="4"/>
  <c r="Q45" i="4"/>
  <c r="R45" i="4"/>
  <c r="S45" i="4"/>
  <c r="T45" i="4"/>
  <c r="V45" i="4"/>
  <c r="X45" i="4"/>
  <c r="Y45" i="4"/>
  <c r="AA45" i="4"/>
  <c r="AB45" i="4"/>
  <c r="P40" i="4"/>
  <c r="Q40" i="4"/>
  <c r="R40" i="4"/>
  <c r="S40" i="4"/>
  <c r="T40" i="4"/>
  <c r="V40" i="4"/>
  <c r="X40" i="4"/>
  <c r="Y40" i="4"/>
  <c r="AA40" i="4"/>
  <c r="AB40" i="4"/>
  <c r="P43" i="4"/>
  <c r="Q43" i="4"/>
  <c r="R43" i="4"/>
  <c r="S43" i="4"/>
  <c r="T43" i="4"/>
  <c r="V43" i="4"/>
  <c r="X43" i="4"/>
  <c r="Y43" i="4"/>
  <c r="AA43" i="4"/>
  <c r="AB43" i="4"/>
  <c r="P41" i="4"/>
  <c r="Q41" i="4"/>
  <c r="R41" i="4"/>
  <c r="S41" i="4"/>
  <c r="T41" i="4"/>
  <c r="V41" i="4"/>
  <c r="X41" i="4"/>
  <c r="Y41" i="4"/>
  <c r="AA41" i="4"/>
  <c r="AB41" i="4"/>
  <c r="P44" i="4"/>
  <c r="Q44" i="4"/>
  <c r="R44" i="4"/>
  <c r="S44" i="4"/>
  <c r="T44" i="4"/>
  <c r="V44" i="4"/>
  <c r="X44" i="4"/>
  <c r="Y44" i="4"/>
  <c r="AA44" i="4"/>
  <c r="AB44" i="4"/>
  <c r="P42" i="4"/>
  <c r="Q42" i="4"/>
  <c r="R42" i="4"/>
  <c r="S42" i="4"/>
  <c r="T42" i="4"/>
  <c r="V42" i="4"/>
  <c r="X42" i="4"/>
  <c r="Y42" i="4"/>
  <c r="AA42" i="4"/>
  <c r="AB42" i="4"/>
  <c r="P47" i="4"/>
  <c r="Q47" i="4"/>
  <c r="R47" i="4"/>
  <c r="S47" i="4"/>
  <c r="T47" i="4"/>
  <c r="V47" i="4"/>
  <c r="X47" i="4"/>
  <c r="Y47" i="4"/>
  <c r="AA47" i="4"/>
  <c r="AB47" i="4"/>
  <c r="P48" i="4"/>
  <c r="Q48" i="4"/>
  <c r="R48" i="4"/>
  <c r="S48" i="4"/>
  <c r="T48" i="4"/>
  <c r="V48" i="4"/>
  <c r="X48" i="4"/>
  <c r="Y48" i="4"/>
  <c r="AA48" i="4"/>
  <c r="AB48" i="4"/>
  <c r="P49" i="4"/>
  <c r="Q49" i="4"/>
  <c r="R49" i="4"/>
  <c r="S49" i="4"/>
  <c r="T49" i="4"/>
  <c r="V49" i="4"/>
  <c r="X49" i="4"/>
  <c r="Y49" i="4"/>
  <c r="AA49" i="4"/>
  <c r="AB49" i="4"/>
  <c r="P50" i="4"/>
  <c r="Q50" i="4"/>
  <c r="R50" i="4"/>
  <c r="S50" i="4"/>
  <c r="T50" i="4"/>
  <c r="V50" i="4"/>
  <c r="X50" i="4"/>
  <c r="Y50" i="4"/>
  <c r="AA50" i="4"/>
  <c r="AB50" i="4"/>
  <c r="P51" i="4"/>
  <c r="Q51" i="4"/>
  <c r="R51" i="4"/>
  <c r="S51" i="4"/>
  <c r="T51" i="4"/>
  <c r="V51" i="4"/>
  <c r="X51" i="4"/>
  <c r="Y51" i="4"/>
  <c r="AA51" i="4"/>
  <c r="AB51" i="4"/>
  <c r="P52" i="4"/>
  <c r="Q52" i="4"/>
  <c r="R52" i="4"/>
  <c r="S52" i="4"/>
  <c r="T52" i="4"/>
  <c r="V52" i="4"/>
  <c r="X52" i="4"/>
  <c r="Y52" i="4"/>
  <c r="AA52" i="4"/>
  <c r="AB52" i="4"/>
  <c r="P54" i="4"/>
  <c r="Q54" i="4"/>
  <c r="R54" i="4"/>
  <c r="S54" i="4"/>
  <c r="T54" i="4"/>
  <c r="V54" i="4"/>
  <c r="X54" i="4"/>
  <c r="Y54" i="4"/>
  <c r="AA54" i="4"/>
  <c r="AB54" i="4"/>
  <c r="P55" i="4"/>
  <c r="Q55" i="4"/>
  <c r="R55" i="4"/>
  <c r="S55" i="4"/>
  <c r="T55" i="4"/>
  <c r="V55" i="4"/>
  <c r="X55" i="4"/>
  <c r="Y55" i="4"/>
  <c r="AA55" i="4"/>
  <c r="AB55" i="4"/>
  <c r="P46" i="4"/>
  <c r="Q46" i="4"/>
  <c r="R46" i="4"/>
  <c r="S46" i="4"/>
  <c r="T46" i="4"/>
  <c r="V46" i="4"/>
  <c r="X46" i="4"/>
  <c r="Y46" i="4"/>
  <c r="AA46" i="4"/>
  <c r="AB46" i="4"/>
  <c r="P53" i="4"/>
  <c r="Q53" i="4"/>
  <c r="R53" i="4"/>
  <c r="S53" i="4"/>
  <c r="T53" i="4"/>
  <c r="V53" i="4"/>
  <c r="X53" i="4"/>
  <c r="Y53" i="4"/>
  <c r="AA53" i="4"/>
  <c r="AB53" i="4"/>
  <c r="P57" i="4"/>
  <c r="Q57" i="4"/>
  <c r="R57" i="4"/>
  <c r="S57" i="4"/>
  <c r="T57" i="4"/>
  <c r="V57" i="4"/>
  <c r="X57" i="4"/>
  <c r="Y57" i="4"/>
  <c r="AA57" i="4"/>
  <c r="AB57" i="4"/>
  <c r="P58" i="4"/>
  <c r="Q58" i="4"/>
  <c r="R58" i="4"/>
  <c r="S58" i="4"/>
  <c r="T58" i="4"/>
  <c r="V58" i="4"/>
  <c r="X58" i="4"/>
  <c r="Y58" i="4"/>
  <c r="AA58" i="4"/>
  <c r="AB58" i="4"/>
  <c r="P59" i="4"/>
  <c r="Q59" i="4"/>
  <c r="R59" i="4"/>
  <c r="S59" i="4"/>
  <c r="T59" i="4"/>
  <c r="V59" i="4"/>
  <c r="X59" i="4"/>
  <c r="Y59" i="4"/>
  <c r="AA59" i="4"/>
  <c r="AB59" i="4"/>
  <c r="P61" i="4"/>
  <c r="Q61" i="4"/>
  <c r="R61" i="4"/>
  <c r="S61" i="4"/>
  <c r="T61" i="4"/>
  <c r="V61" i="4"/>
  <c r="X61" i="4"/>
  <c r="Y61" i="4"/>
  <c r="AA61" i="4"/>
  <c r="AB61" i="4"/>
  <c r="P60" i="4"/>
  <c r="Q60" i="4"/>
  <c r="R60" i="4"/>
  <c r="S60" i="4"/>
  <c r="T60" i="4"/>
  <c r="V60" i="4"/>
  <c r="X60" i="4"/>
  <c r="Y60" i="4"/>
  <c r="AA60" i="4"/>
  <c r="AB60" i="4"/>
  <c r="P62" i="4"/>
  <c r="Q62" i="4"/>
  <c r="R62" i="4"/>
  <c r="S62" i="4"/>
  <c r="T62" i="4"/>
  <c r="V62" i="4"/>
  <c r="X62" i="4"/>
  <c r="Y62" i="4"/>
  <c r="AA62" i="4"/>
  <c r="AB62" i="4"/>
  <c r="P56" i="4"/>
  <c r="Q56" i="4"/>
  <c r="R56" i="4"/>
  <c r="S56" i="4"/>
  <c r="T56" i="4"/>
  <c r="V56" i="4"/>
  <c r="X56" i="4"/>
  <c r="Y56" i="4"/>
  <c r="AA56" i="4"/>
  <c r="AB56" i="4"/>
  <c r="T8" i="4"/>
  <c r="AB8" i="4"/>
  <c r="AE7" i="52"/>
  <c r="AE32" i="52"/>
  <c r="AE12" i="52"/>
  <c r="AE13" i="52"/>
  <c r="AE14" i="52"/>
  <c r="AE15" i="52"/>
  <c r="AE16" i="52"/>
  <c r="AE17" i="52"/>
  <c r="AE18" i="52"/>
  <c r="AE19" i="52"/>
  <c r="AE20" i="52"/>
  <c r="AE21" i="52"/>
  <c r="AE22" i="52"/>
  <c r="AE23" i="52"/>
  <c r="AE24" i="52"/>
  <c r="AE25" i="52"/>
  <c r="AE26" i="52"/>
  <c r="AE27" i="52"/>
  <c r="AE28" i="52"/>
  <c r="AE29" i="52"/>
  <c r="AE30" i="52"/>
  <c r="AE31" i="52"/>
  <c r="AE11" i="52"/>
  <c r="AE10" i="52"/>
  <c r="AE9" i="52"/>
  <c r="AE8" i="52"/>
  <c r="A4" i="52"/>
  <c r="A3" i="52"/>
  <c r="A2" i="52"/>
  <c r="A1" i="52"/>
  <c r="Q60" i="52"/>
  <c r="T60" i="52" s="1"/>
  <c r="P60" i="52"/>
  <c r="Q59" i="52"/>
  <c r="R59" i="52" s="1"/>
  <c r="S59" i="52" s="1"/>
  <c r="P59" i="52"/>
  <c r="Q58" i="52"/>
  <c r="T58" i="52" s="1"/>
  <c r="P58" i="52"/>
  <c r="Q57" i="52"/>
  <c r="R57" i="52" s="1"/>
  <c r="S57" i="52" s="1"/>
  <c r="P57" i="52"/>
  <c r="Q56" i="52"/>
  <c r="T56" i="52" s="1"/>
  <c r="P56" i="52"/>
  <c r="R55" i="52"/>
  <c r="Q53" i="52"/>
  <c r="T53" i="52" s="1"/>
  <c r="P53" i="52"/>
  <c r="Q52" i="52"/>
  <c r="T52" i="52" s="1"/>
  <c r="P52" i="52"/>
  <c r="Q51" i="52"/>
  <c r="T51" i="52" s="1"/>
  <c r="P51" i="52"/>
  <c r="R50" i="52"/>
  <c r="S50" i="52" s="1"/>
  <c r="Q50" i="52"/>
  <c r="T50" i="52" s="1"/>
  <c r="P50" i="52"/>
  <c r="Q49" i="52"/>
  <c r="T49" i="52" s="1"/>
  <c r="P49" i="52"/>
  <c r="R48" i="52"/>
  <c r="Q46" i="52"/>
  <c r="T46" i="52" s="1"/>
  <c r="P46" i="52"/>
  <c r="Q45" i="52"/>
  <c r="R45" i="52" s="1"/>
  <c r="S45" i="52" s="1"/>
  <c r="P45" i="52"/>
  <c r="Q44" i="52"/>
  <c r="T44" i="52" s="1"/>
  <c r="P44" i="52"/>
  <c r="Q43" i="52"/>
  <c r="R43" i="52" s="1"/>
  <c r="S43" i="52" s="1"/>
  <c r="P43" i="52"/>
  <c r="Q42" i="52"/>
  <c r="T42" i="52" s="1"/>
  <c r="P42" i="52"/>
  <c r="R41" i="52"/>
  <c r="Q39" i="52"/>
  <c r="T39" i="52" s="1"/>
  <c r="P39" i="52"/>
  <c r="Q38" i="52"/>
  <c r="T38" i="52" s="1"/>
  <c r="P38" i="52"/>
  <c r="Q37" i="52"/>
  <c r="T37" i="52" s="1"/>
  <c r="P37" i="52"/>
  <c r="R36" i="52"/>
  <c r="S36" i="52" s="1"/>
  <c r="Q36" i="52"/>
  <c r="T36" i="52" s="1"/>
  <c r="P36" i="52"/>
  <c r="Q35" i="52"/>
  <c r="T35" i="52" s="1"/>
  <c r="P35" i="52"/>
  <c r="R34" i="52"/>
  <c r="P32" i="52"/>
  <c r="O32" i="52"/>
  <c r="N32" i="52"/>
  <c r="H32" i="52"/>
  <c r="Q32" i="52" s="1"/>
  <c r="P31" i="52"/>
  <c r="O31" i="52"/>
  <c r="N31" i="52"/>
  <c r="H31" i="52"/>
  <c r="Q31" i="52" s="1"/>
  <c r="P30" i="52"/>
  <c r="O30" i="52"/>
  <c r="N30" i="52"/>
  <c r="H30" i="52"/>
  <c r="Q30" i="52" s="1"/>
  <c r="P29" i="52"/>
  <c r="O29" i="52"/>
  <c r="N29" i="52"/>
  <c r="H29" i="52"/>
  <c r="Q29" i="52" s="1"/>
  <c r="P28" i="52"/>
  <c r="O28" i="52"/>
  <c r="N28" i="52"/>
  <c r="H28" i="52"/>
  <c r="Q28" i="52" s="1"/>
  <c r="R27" i="52"/>
  <c r="I32" i="52" s="1"/>
  <c r="P25" i="52"/>
  <c r="O25" i="52"/>
  <c r="N25" i="52"/>
  <c r="H25" i="52"/>
  <c r="Q25" i="52" s="1"/>
  <c r="P24" i="52"/>
  <c r="O24" i="52"/>
  <c r="N24" i="52"/>
  <c r="H24" i="52"/>
  <c r="Q24" i="52" s="1"/>
  <c r="P23" i="52"/>
  <c r="O23" i="52"/>
  <c r="N23" i="52"/>
  <c r="H23" i="52"/>
  <c r="Q23" i="52" s="1"/>
  <c r="P22" i="52"/>
  <c r="O22" i="52"/>
  <c r="N22" i="52"/>
  <c r="H22" i="52"/>
  <c r="Q22" i="52" s="1"/>
  <c r="P21" i="52"/>
  <c r="O21" i="52"/>
  <c r="N21" i="52"/>
  <c r="H21" i="52"/>
  <c r="Q21" i="52" s="1"/>
  <c r="R20" i="52"/>
  <c r="I25" i="52" s="1"/>
  <c r="P18" i="52"/>
  <c r="O18" i="52"/>
  <c r="N18" i="52"/>
  <c r="H18" i="52"/>
  <c r="Q18" i="52" s="1"/>
  <c r="P17" i="52"/>
  <c r="O17" i="52"/>
  <c r="N17" i="52"/>
  <c r="H17" i="52"/>
  <c r="Q17" i="52" s="1"/>
  <c r="P16" i="52"/>
  <c r="O16" i="52"/>
  <c r="N16" i="52"/>
  <c r="H16" i="52"/>
  <c r="Q16" i="52" s="1"/>
  <c r="P15" i="52"/>
  <c r="O15" i="52"/>
  <c r="N15" i="52"/>
  <c r="H15" i="52"/>
  <c r="Q15" i="52" s="1"/>
  <c r="P14" i="52"/>
  <c r="O14" i="52"/>
  <c r="N14" i="52"/>
  <c r="H14" i="52"/>
  <c r="Q14" i="52" s="1"/>
  <c r="R13" i="52"/>
  <c r="P11" i="52"/>
  <c r="O11" i="52"/>
  <c r="N11" i="52"/>
  <c r="H11" i="52"/>
  <c r="Q11" i="52" s="1"/>
  <c r="P10" i="52"/>
  <c r="O10" i="52"/>
  <c r="N10" i="52"/>
  <c r="H10" i="52"/>
  <c r="Q10" i="52" s="1"/>
  <c r="P9" i="52"/>
  <c r="O9" i="52"/>
  <c r="N9" i="52"/>
  <c r="H9" i="52"/>
  <c r="Q9" i="52" s="1"/>
  <c r="P8" i="52"/>
  <c r="O8" i="52"/>
  <c r="N8" i="52"/>
  <c r="H8" i="52"/>
  <c r="Q8" i="52" s="1"/>
  <c r="P7" i="52"/>
  <c r="O7" i="52"/>
  <c r="N7" i="52"/>
  <c r="H7" i="52"/>
  <c r="Q7" i="52" s="1"/>
  <c r="R6" i="52"/>
  <c r="AA8" i="4"/>
  <c r="D53" i="4"/>
  <c r="C53" i="4" s="1"/>
  <c r="M53" i="4"/>
  <c r="A4" i="51"/>
  <c r="A3" i="51"/>
  <c r="A2" i="51"/>
  <c r="A1" i="51"/>
  <c r="Q60" i="51"/>
  <c r="T60" i="51" s="1"/>
  <c r="P60" i="51"/>
  <c r="Q59" i="51"/>
  <c r="T59" i="51" s="1"/>
  <c r="P59" i="51"/>
  <c r="Q58" i="51"/>
  <c r="T58" i="51" s="1"/>
  <c r="P58" i="51"/>
  <c r="Q57" i="51"/>
  <c r="T57" i="51" s="1"/>
  <c r="P57" i="51"/>
  <c r="Q56" i="51"/>
  <c r="T56" i="51" s="1"/>
  <c r="P56" i="51"/>
  <c r="R55" i="51"/>
  <c r="Q53" i="51"/>
  <c r="T53" i="51" s="1"/>
  <c r="P53" i="51"/>
  <c r="Q52" i="51"/>
  <c r="T52" i="51" s="1"/>
  <c r="P52" i="51"/>
  <c r="Q51" i="51"/>
  <c r="T51" i="51" s="1"/>
  <c r="P51" i="51"/>
  <c r="R50" i="51"/>
  <c r="S50" i="51" s="1"/>
  <c r="Q50" i="51"/>
  <c r="T50" i="51" s="1"/>
  <c r="P50" i="51"/>
  <c r="Q49" i="51"/>
  <c r="T49" i="51" s="1"/>
  <c r="P49" i="51"/>
  <c r="R48" i="51"/>
  <c r="Q46" i="51"/>
  <c r="T46" i="51" s="1"/>
  <c r="P46" i="51"/>
  <c r="Q45" i="51"/>
  <c r="T45" i="51" s="1"/>
  <c r="P45" i="51"/>
  <c r="Q44" i="51"/>
  <c r="T44" i="51" s="1"/>
  <c r="P44" i="51"/>
  <c r="Q43" i="51"/>
  <c r="T43" i="51" s="1"/>
  <c r="P43" i="51"/>
  <c r="Q42" i="51"/>
  <c r="T42" i="51" s="1"/>
  <c r="P42" i="51"/>
  <c r="R41" i="51"/>
  <c r="Q39" i="51"/>
  <c r="T39" i="51" s="1"/>
  <c r="P39" i="51"/>
  <c r="Q38" i="51"/>
  <c r="T38" i="51" s="1"/>
  <c r="P38" i="51"/>
  <c r="Q37" i="51"/>
  <c r="T37" i="51" s="1"/>
  <c r="P37" i="51"/>
  <c r="R36" i="51"/>
  <c r="S36" i="51" s="1"/>
  <c r="Q36" i="51"/>
  <c r="T36" i="51" s="1"/>
  <c r="P36" i="51"/>
  <c r="Q35" i="51"/>
  <c r="T35" i="51" s="1"/>
  <c r="P35" i="51"/>
  <c r="R34" i="51"/>
  <c r="AP32" i="51"/>
  <c r="AO32" i="51" s="1"/>
  <c r="AN32" i="51"/>
  <c r="AM32" i="51" s="1"/>
  <c r="AL32" i="51"/>
  <c r="AK32" i="51" s="1"/>
  <c r="AJ32" i="51"/>
  <c r="AI32" i="51" s="1"/>
  <c r="AH32" i="51"/>
  <c r="AG32" i="51" s="1"/>
  <c r="AF32" i="51"/>
  <c r="AE32" i="51" s="1"/>
  <c r="P32" i="51"/>
  <c r="O32" i="51"/>
  <c r="N32" i="51"/>
  <c r="H32" i="51"/>
  <c r="Q32" i="51" s="1"/>
  <c r="AP31" i="51"/>
  <c r="AO31" i="51" s="1"/>
  <c r="AN31" i="51"/>
  <c r="AM31" i="51" s="1"/>
  <c r="AL31" i="51"/>
  <c r="AK31" i="51" s="1"/>
  <c r="AJ31" i="51"/>
  <c r="AI31" i="51" s="1"/>
  <c r="AH31" i="51"/>
  <c r="AG31" i="51" s="1"/>
  <c r="AF31" i="51"/>
  <c r="AE31" i="51" s="1"/>
  <c r="P31" i="51"/>
  <c r="O31" i="51"/>
  <c r="N31" i="51"/>
  <c r="H31" i="51"/>
  <c r="Q31" i="51" s="1"/>
  <c r="AP30" i="51"/>
  <c r="AO30" i="51" s="1"/>
  <c r="AN30" i="51"/>
  <c r="AM30" i="51" s="1"/>
  <c r="AL30" i="51"/>
  <c r="AJ30" i="51"/>
  <c r="AH30" i="51"/>
  <c r="AG30" i="51"/>
  <c r="AF30" i="51"/>
  <c r="P30" i="51"/>
  <c r="O30" i="51"/>
  <c r="N30" i="51"/>
  <c r="H30" i="51"/>
  <c r="Q30" i="51" s="1"/>
  <c r="AP29" i="51"/>
  <c r="AO29" i="51" s="1"/>
  <c r="AN29" i="51"/>
  <c r="AM29" i="51" s="1"/>
  <c r="AL29" i="51"/>
  <c r="AK29" i="51" s="1"/>
  <c r="AJ29" i="51"/>
  <c r="AI29" i="51" s="1"/>
  <c r="AH29" i="51"/>
  <c r="AF29" i="51"/>
  <c r="P29" i="51"/>
  <c r="O29" i="51"/>
  <c r="N29" i="51"/>
  <c r="H29" i="51"/>
  <c r="Q29" i="51" s="1"/>
  <c r="AP28" i="51"/>
  <c r="AO28" i="51" s="1"/>
  <c r="AN28" i="51"/>
  <c r="AM28" i="51" s="1"/>
  <c r="AL28" i="51"/>
  <c r="AK28" i="51" s="1"/>
  <c r="AJ28" i="51"/>
  <c r="AI28" i="51" s="1"/>
  <c r="AH28" i="51"/>
  <c r="AF28" i="51"/>
  <c r="P28" i="51"/>
  <c r="O28" i="51"/>
  <c r="N28" i="51"/>
  <c r="H28" i="51"/>
  <c r="Q28" i="51" s="1"/>
  <c r="AP27" i="51"/>
  <c r="AO27" i="51" s="1"/>
  <c r="AN27" i="51"/>
  <c r="AM27" i="51" s="1"/>
  <c r="AL27" i="51"/>
  <c r="AK27" i="51" s="1"/>
  <c r="AJ27" i="51"/>
  <c r="AI27" i="51" s="1"/>
  <c r="AH27" i="51"/>
  <c r="AG27" i="51" s="1"/>
  <c r="AF27" i="51"/>
  <c r="AE27" i="51" s="1"/>
  <c r="R27" i="51"/>
  <c r="I32" i="51" s="1"/>
  <c r="AP26" i="51"/>
  <c r="AO26" i="51" s="1"/>
  <c r="AN26" i="51"/>
  <c r="AM26" i="51" s="1"/>
  <c r="AL26" i="51"/>
  <c r="AK26" i="51" s="1"/>
  <c r="AJ26" i="51"/>
  <c r="AI26" i="51" s="1"/>
  <c r="AH26" i="51"/>
  <c r="AG26" i="51" s="1"/>
  <c r="AF26" i="51"/>
  <c r="AE26" i="51" s="1"/>
  <c r="AP25" i="51"/>
  <c r="AO25" i="51" s="1"/>
  <c r="AN25" i="51"/>
  <c r="AM25" i="51" s="1"/>
  <c r="AL25" i="51"/>
  <c r="AK25" i="51" s="1"/>
  <c r="AJ25" i="51"/>
  <c r="AI25" i="51" s="1"/>
  <c r="AH25" i="51"/>
  <c r="AG25" i="51" s="1"/>
  <c r="AF25" i="51"/>
  <c r="AE25" i="51" s="1"/>
  <c r="P25" i="51"/>
  <c r="O25" i="51"/>
  <c r="N25" i="51"/>
  <c r="H25" i="51"/>
  <c r="Q25" i="51" s="1"/>
  <c r="AP24" i="51"/>
  <c r="AO24" i="51" s="1"/>
  <c r="AN24" i="51"/>
  <c r="AM24" i="51" s="1"/>
  <c r="AL24" i="51"/>
  <c r="AK24" i="51" s="1"/>
  <c r="AJ24" i="51"/>
  <c r="AI24" i="51" s="1"/>
  <c r="AH24" i="51"/>
  <c r="AG24" i="51" s="1"/>
  <c r="AF24" i="51"/>
  <c r="AE24" i="51" s="1"/>
  <c r="P24" i="51"/>
  <c r="O24" i="51"/>
  <c r="N24" i="51"/>
  <c r="H24" i="51"/>
  <c r="Q24" i="51" s="1"/>
  <c r="AP23" i="51"/>
  <c r="AO23" i="51" s="1"/>
  <c r="AN23" i="51"/>
  <c r="AM23" i="51" s="1"/>
  <c r="AL23" i="51"/>
  <c r="AJ23" i="51"/>
  <c r="AH23" i="51"/>
  <c r="AF23" i="51"/>
  <c r="P23" i="51"/>
  <c r="O23" i="51"/>
  <c r="N23" i="51"/>
  <c r="H23" i="51"/>
  <c r="Q23" i="51" s="1"/>
  <c r="AP22" i="51"/>
  <c r="AO22" i="51" s="1"/>
  <c r="AN22" i="51"/>
  <c r="AM22" i="51" s="1"/>
  <c r="AL22" i="51"/>
  <c r="AJ22" i="51"/>
  <c r="AH22" i="51"/>
  <c r="AF22" i="51"/>
  <c r="P22" i="51"/>
  <c r="O22" i="51"/>
  <c r="N22" i="51"/>
  <c r="H22" i="51"/>
  <c r="Q22" i="51" s="1"/>
  <c r="AP21" i="51"/>
  <c r="AO21" i="51" s="1"/>
  <c r="AN21" i="51"/>
  <c r="AM21" i="51" s="1"/>
  <c r="AL21" i="51"/>
  <c r="AJ21" i="51"/>
  <c r="AH21" i="51"/>
  <c r="AF21" i="51"/>
  <c r="P21" i="51"/>
  <c r="O21" i="51"/>
  <c r="N21" i="51"/>
  <c r="H21" i="51"/>
  <c r="Q21" i="51" s="1"/>
  <c r="AP20" i="51"/>
  <c r="AO20" i="51" s="1"/>
  <c r="AN20" i="51"/>
  <c r="AM20" i="51" s="1"/>
  <c r="AL20" i="51"/>
  <c r="AK20" i="51" s="1"/>
  <c r="AJ20" i="51"/>
  <c r="AI20" i="51" s="1"/>
  <c r="AH20" i="51"/>
  <c r="AG20" i="51" s="1"/>
  <c r="AF20" i="51"/>
  <c r="AE20" i="51" s="1"/>
  <c r="R20" i="51"/>
  <c r="I25" i="51" s="1"/>
  <c r="AP19" i="51"/>
  <c r="AO19" i="51" s="1"/>
  <c r="AN19" i="51"/>
  <c r="AM19" i="51" s="1"/>
  <c r="AL19" i="51"/>
  <c r="AK19" i="51" s="1"/>
  <c r="AJ19" i="51"/>
  <c r="AI19" i="51" s="1"/>
  <c r="AH19" i="51"/>
  <c r="AG19" i="51" s="1"/>
  <c r="AF19" i="51"/>
  <c r="AE19" i="51" s="1"/>
  <c r="AP18" i="51"/>
  <c r="AO18" i="51" s="1"/>
  <c r="AN18" i="51"/>
  <c r="AM18" i="51" s="1"/>
  <c r="AL18" i="51"/>
  <c r="AK18" i="51" s="1"/>
  <c r="AJ18" i="51"/>
  <c r="AI18" i="51" s="1"/>
  <c r="AH18" i="51"/>
  <c r="AG18" i="51" s="1"/>
  <c r="AF18" i="51"/>
  <c r="AE18" i="51" s="1"/>
  <c r="P18" i="51"/>
  <c r="O18" i="51"/>
  <c r="N18" i="51"/>
  <c r="H18" i="51"/>
  <c r="Q18" i="51" s="1"/>
  <c r="AP17" i="51"/>
  <c r="AO17" i="51" s="1"/>
  <c r="AN17" i="51"/>
  <c r="AM17" i="51" s="1"/>
  <c r="AL17" i="51"/>
  <c r="AK17" i="51" s="1"/>
  <c r="AJ17" i="51"/>
  <c r="AI17" i="51" s="1"/>
  <c r="AH17" i="51"/>
  <c r="AF17" i="51"/>
  <c r="P17" i="51"/>
  <c r="O17" i="51"/>
  <c r="N17" i="51"/>
  <c r="H17" i="51"/>
  <c r="Q17" i="51" s="1"/>
  <c r="AP16" i="51"/>
  <c r="AO16" i="51" s="1"/>
  <c r="AN16" i="51"/>
  <c r="AM16" i="51" s="1"/>
  <c r="AL16" i="51"/>
  <c r="AJ16" i="51"/>
  <c r="AH16" i="51"/>
  <c r="AF16" i="51"/>
  <c r="P16" i="51"/>
  <c r="O16" i="51"/>
  <c r="N16" i="51"/>
  <c r="H16" i="51"/>
  <c r="Q16" i="51" s="1"/>
  <c r="AP15" i="51"/>
  <c r="AO15" i="51" s="1"/>
  <c r="AN15" i="51"/>
  <c r="AM15" i="51" s="1"/>
  <c r="AL15" i="51"/>
  <c r="AJ15" i="51"/>
  <c r="AH15" i="51"/>
  <c r="AF15" i="51"/>
  <c r="P15" i="51"/>
  <c r="O15" i="51"/>
  <c r="N15" i="51"/>
  <c r="H15" i="51"/>
  <c r="Q15" i="51" s="1"/>
  <c r="AP14" i="51"/>
  <c r="AO14" i="51" s="1"/>
  <c r="AN14" i="51"/>
  <c r="AM14" i="51" s="1"/>
  <c r="AL14" i="51"/>
  <c r="AJ14" i="51"/>
  <c r="AH14" i="51"/>
  <c r="AF14" i="51"/>
  <c r="P14" i="51"/>
  <c r="O14" i="51"/>
  <c r="N14" i="51"/>
  <c r="H14" i="51"/>
  <c r="Q14" i="51" s="1"/>
  <c r="AP13" i="51"/>
  <c r="AO13" i="51" s="1"/>
  <c r="AN13" i="51"/>
  <c r="AM13" i="51" s="1"/>
  <c r="AL13" i="51"/>
  <c r="AK13" i="51" s="1"/>
  <c r="AJ13" i="51"/>
  <c r="AI13" i="51" s="1"/>
  <c r="AH13" i="51"/>
  <c r="AG13" i="51" s="1"/>
  <c r="AF13" i="51"/>
  <c r="AE13" i="51" s="1"/>
  <c r="R13" i="51"/>
  <c r="AP12" i="51"/>
  <c r="AO12" i="51" s="1"/>
  <c r="AN12" i="51"/>
  <c r="AM12" i="51" s="1"/>
  <c r="AL12" i="51"/>
  <c r="AK12" i="51" s="1"/>
  <c r="AJ12" i="51"/>
  <c r="AI12" i="51" s="1"/>
  <c r="AH12" i="51"/>
  <c r="AG12" i="51" s="1"/>
  <c r="AF12" i="51"/>
  <c r="AE12" i="51" s="1"/>
  <c r="AP11" i="51"/>
  <c r="AO11" i="51" s="1"/>
  <c r="AN11" i="51"/>
  <c r="AM11" i="51" s="1"/>
  <c r="AL11" i="51"/>
  <c r="AK11" i="51" s="1"/>
  <c r="AJ11" i="51"/>
  <c r="AI11" i="51" s="1"/>
  <c r="AH11" i="51"/>
  <c r="AG11" i="51" s="1"/>
  <c r="AF11" i="51"/>
  <c r="AE11" i="51" s="1"/>
  <c r="P11" i="51"/>
  <c r="O11" i="51"/>
  <c r="N11" i="51"/>
  <c r="H11" i="51"/>
  <c r="Q11" i="51" s="1"/>
  <c r="AP10" i="51"/>
  <c r="AO10" i="51" s="1"/>
  <c r="AN10" i="51"/>
  <c r="AM10" i="51" s="1"/>
  <c r="AL10" i="51"/>
  <c r="AK10" i="51" s="1"/>
  <c r="AJ10" i="51"/>
  <c r="AI10" i="51" s="1"/>
  <c r="AH10" i="51"/>
  <c r="AF10" i="51"/>
  <c r="P10" i="51"/>
  <c r="O10" i="51"/>
  <c r="N10" i="51"/>
  <c r="H10" i="51"/>
  <c r="Q10" i="51" s="1"/>
  <c r="AP9" i="51"/>
  <c r="AO9" i="51" s="1"/>
  <c r="AN9" i="51"/>
  <c r="AM9" i="51" s="1"/>
  <c r="AL9" i="51"/>
  <c r="AJ9" i="51"/>
  <c r="AH9" i="51"/>
  <c r="AF9" i="51"/>
  <c r="P9" i="51"/>
  <c r="O9" i="51"/>
  <c r="N9" i="51"/>
  <c r="H9" i="51"/>
  <c r="Q9" i="51" s="1"/>
  <c r="AP8" i="51"/>
  <c r="AO8" i="51" s="1"/>
  <c r="AN8" i="51"/>
  <c r="AM8" i="51" s="1"/>
  <c r="AL8" i="51"/>
  <c r="AJ8" i="51"/>
  <c r="AH8" i="51"/>
  <c r="AF8" i="51"/>
  <c r="P8" i="51"/>
  <c r="O8" i="51"/>
  <c r="N8" i="51"/>
  <c r="H8" i="51"/>
  <c r="Q8" i="51" s="1"/>
  <c r="AP7" i="51"/>
  <c r="AO7" i="51" s="1"/>
  <c r="AN7" i="51"/>
  <c r="AM7" i="51" s="1"/>
  <c r="AL7" i="51"/>
  <c r="AJ7" i="51"/>
  <c r="AH7" i="51"/>
  <c r="AF7" i="51"/>
  <c r="P7" i="51"/>
  <c r="O7" i="51"/>
  <c r="N7" i="51"/>
  <c r="H7" i="51"/>
  <c r="Q7" i="51" s="1"/>
  <c r="AP6" i="51"/>
  <c r="AO6" i="51" s="1"/>
  <c r="AN6" i="51"/>
  <c r="AM6" i="51" s="1"/>
  <c r="AL6" i="51"/>
  <c r="AK6" i="51" s="1"/>
  <c r="AJ6" i="51"/>
  <c r="AI6" i="51" s="1"/>
  <c r="AH6" i="51"/>
  <c r="AG6" i="51" s="1"/>
  <c r="AF6" i="51"/>
  <c r="AE6" i="51" s="1"/>
  <c r="R6" i="51"/>
  <c r="A4" i="50"/>
  <c r="A3" i="50"/>
  <c r="A2" i="50"/>
  <c r="A1" i="50"/>
  <c r="B320" i="50" s="1"/>
  <c r="AE28" i="50"/>
  <c r="AA28" i="50"/>
  <c r="Y28" i="50"/>
  <c r="AB28" i="50" s="1"/>
  <c r="W28" i="50"/>
  <c r="AE27" i="50"/>
  <c r="AA27" i="50"/>
  <c r="Y27" i="50"/>
  <c r="AB27" i="50" s="1"/>
  <c r="W27" i="50"/>
  <c r="AE26" i="50"/>
  <c r="AA26" i="50"/>
  <c r="Y26" i="50"/>
  <c r="AB26" i="50" s="1"/>
  <c r="W26" i="50"/>
  <c r="AE25" i="50"/>
  <c r="AA25" i="50"/>
  <c r="Y25" i="50"/>
  <c r="AB25" i="50" s="1"/>
  <c r="W25" i="50"/>
  <c r="AE24" i="50"/>
  <c r="AA24" i="50"/>
  <c r="Y24" i="50"/>
  <c r="AB24" i="50" s="1"/>
  <c r="W24" i="50"/>
  <c r="AE23" i="50"/>
  <c r="AA23" i="50"/>
  <c r="Y23" i="50"/>
  <c r="AB23" i="50" s="1"/>
  <c r="W23" i="50"/>
  <c r="AE22" i="50"/>
  <c r="AA22" i="50"/>
  <c r="Y22" i="50"/>
  <c r="AB22" i="50" s="1"/>
  <c r="W22" i="50"/>
  <c r="AE21" i="50"/>
  <c r="AA21" i="50"/>
  <c r="Y21" i="50"/>
  <c r="AB21" i="50" s="1"/>
  <c r="W21" i="50"/>
  <c r="AE20" i="50"/>
  <c r="AA20" i="50"/>
  <c r="Y20" i="50"/>
  <c r="AB20" i="50" s="1"/>
  <c r="W20" i="50"/>
  <c r="AE19" i="50"/>
  <c r="AA19" i="50"/>
  <c r="Y19" i="50"/>
  <c r="AB19" i="50" s="1"/>
  <c r="W19" i="50"/>
  <c r="AE18" i="50"/>
  <c r="AA18" i="50"/>
  <c r="Y18" i="50"/>
  <c r="AB18" i="50" s="1"/>
  <c r="W18" i="50"/>
  <c r="AE17" i="50"/>
  <c r="AA17" i="50"/>
  <c r="Y17" i="50"/>
  <c r="AB17" i="50" s="1"/>
  <c r="W17" i="50"/>
  <c r="AE16" i="50"/>
  <c r="AA16" i="50"/>
  <c r="Y16" i="50"/>
  <c r="AB16" i="50" s="1"/>
  <c r="W16" i="50"/>
  <c r="AE15" i="50"/>
  <c r="AA15" i="50"/>
  <c r="Y15" i="50"/>
  <c r="AB15" i="50" s="1"/>
  <c r="W15" i="50"/>
  <c r="AE14" i="50"/>
  <c r="AA14" i="50"/>
  <c r="Y14" i="50"/>
  <c r="AB14" i="50" s="1"/>
  <c r="W14" i="50"/>
  <c r="AE13" i="50"/>
  <c r="AA13" i="50"/>
  <c r="Y13" i="50"/>
  <c r="AB13" i="50" s="1"/>
  <c r="W13" i="50"/>
  <c r="AE12" i="50"/>
  <c r="AA12" i="50"/>
  <c r="Y12" i="50"/>
  <c r="AB12" i="50" s="1"/>
  <c r="W12" i="50"/>
  <c r="AE11" i="50"/>
  <c r="AA11" i="50"/>
  <c r="Y11" i="50"/>
  <c r="AB11" i="50" s="1"/>
  <c r="W11" i="50"/>
  <c r="AE10" i="50"/>
  <c r="AA10" i="50"/>
  <c r="Y10" i="50"/>
  <c r="AB10" i="50" s="1"/>
  <c r="W10" i="50"/>
  <c r="AE9" i="50"/>
  <c r="AA9" i="50"/>
  <c r="Y9" i="50"/>
  <c r="AB9" i="50" s="1"/>
  <c r="W9" i="50"/>
  <c r="AE8" i="50"/>
  <c r="AA8" i="50"/>
  <c r="Y8" i="50"/>
  <c r="AB8" i="50" s="1"/>
  <c r="W8" i="50"/>
  <c r="Y8" i="4"/>
  <c r="A4" i="49"/>
  <c r="A3" i="49"/>
  <c r="A2" i="49"/>
  <c r="A1" i="49"/>
  <c r="AP31" i="49"/>
  <c r="AO31" i="49" s="1"/>
  <c r="AN31" i="49"/>
  <c r="AM31" i="49" s="1"/>
  <c r="AL31" i="49"/>
  <c r="AK31" i="49" s="1"/>
  <c r="AJ31" i="49"/>
  <c r="AI31" i="49" s="1"/>
  <c r="AH31" i="49"/>
  <c r="AG31" i="49" s="1"/>
  <c r="AF31" i="49"/>
  <c r="AE31" i="49" s="1"/>
  <c r="AP30" i="49"/>
  <c r="AO30" i="49" s="1"/>
  <c r="AN30" i="49"/>
  <c r="AM30" i="49" s="1"/>
  <c r="AL30" i="49"/>
  <c r="AK30" i="49" s="1"/>
  <c r="AJ30" i="49"/>
  <c r="AI30" i="49" s="1"/>
  <c r="AH30" i="49"/>
  <c r="AG30" i="49" s="1"/>
  <c r="AF30" i="49"/>
  <c r="AE30" i="49" s="1"/>
  <c r="AP29" i="49"/>
  <c r="AO29" i="49"/>
  <c r="AN29" i="49"/>
  <c r="AM29" i="49"/>
  <c r="AL29" i="49"/>
  <c r="AK29" i="49"/>
  <c r="AJ29" i="49"/>
  <c r="AI29" i="49"/>
  <c r="AH29" i="49"/>
  <c r="AG29" i="49"/>
  <c r="AF29" i="49"/>
  <c r="AE29" i="49"/>
  <c r="AD29" i="49" s="1"/>
  <c r="AP28" i="49"/>
  <c r="AO28" i="49" s="1"/>
  <c r="AN28" i="49"/>
  <c r="AM28" i="49" s="1"/>
  <c r="AL28" i="49"/>
  <c r="AK28" i="49" s="1"/>
  <c r="AJ28" i="49"/>
  <c r="AI28" i="49" s="1"/>
  <c r="AH28" i="49"/>
  <c r="AG28" i="49" s="1"/>
  <c r="AF28" i="49"/>
  <c r="AE28" i="49" s="1"/>
  <c r="AP27" i="49"/>
  <c r="AO27" i="49"/>
  <c r="AN27" i="49"/>
  <c r="AM27" i="49"/>
  <c r="AL27" i="49"/>
  <c r="AK27" i="49"/>
  <c r="AJ27" i="49"/>
  <c r="AI27" i="49"/>
  <c r="AH27" i="49"/>
  <c r="AG27" i="49"/>
  <c r="AF27" i="49"/>
  <c r="AE27" i="49"/>
  <c r="AD27" i="49" s="1"/>
  <c r="AP22" i="49"/>
  <c r="AO22" i="49" s="1"/>
  <c r="AN22" i="49"/>
  <c r="AM22" i="49" s="1"/>
  <c r="AL22" i="49"/>
  <c r="AK22" i="49" s="1"/>
  <c r="AJ22" i="49"/>
  <c r="AI22" i="49" s="1"/>
  <c r="AH22" i="49"/>
  <c r="AG22" i="49" s="1"/>
  <c r="AF22" i="49"/>
  <c r="AE22" i="49" s="1"/>
  <c r="AP21" i="49"/>
  <c r="AO21" i="49"/>
  <c r="AN21" i="49"/>
  <c r="AM21" i="49"/>
  <c r="AL21" i="49"/>
  <c r="AK21" i="49"/>
  <c r="AJ21" i="49"/>
  <c r="AI21" i="49"/>
  <c r="AH21" i="49"/>
  <c r="AG21" i="49"/>
  <c r="AF21" i="49"/>
  <c r="AE21" i="49"/>
  <c r="AD21" i="49" s="1"/>
  <c r="AP20" i="49"/>
  <c r="AO20" i="49" s="1"/>
  <c r="AN20" i="49"/>
  <c r="AM20" i="49" s="1"/>
  <c r="AL20" i="49"/>
  <c r="AK20" i="49" s="1"/>
  <c r="AJ20" i="49"/>
  <c r="AI20" i="49" s="1"/>
  <c r="AH20" i="49"/>
  <c r="AG20" i="49" s="1"/>
  <c r="AF20" i="49"/>
  <c r="AE20" i="49" s="1"/>
  <c r="AP19" i="49"/>
  <c r="AO19" i="49"/>
  <c r="AN19" i="49"/>
  <c r="AM19" i="49"/>
  <c r="AL19" i="49"/>
  <c r="AK19" i="49"/>
  <c r="AJ19" i="49"/>
  <c r="AI19" i="49"/>
  <c r="AH19" i="49"/>
  <c r="AG19" i="49"/>
  <c r="AF19" i="49"/>
  <c r="AE19" i="49"/>
  <c r="AD19" i="49" s="1"/>
  <c r="AP18" i="49"/>
  <c r="AO18" i="49" s="1"/>
  <c r="AN18" i="49"/>
  <c r="AM18" i="49" s="1"/>
  <c r="AL18" i="49"/>
  <c r="AK18" i="49" s="1"/>
  <c r="AJ18" i="49"/>
  <c r="AI18" i="49" s="1"/>
  <c r="AH18" i="49"/>
  <c r="AG18" i="49" s="1"/>
  <c r="AF18" i="49"/>
  <c r="AE18" i="49" s="1"/>
  <c r="P18" i="49"/>
  <c r="O18" i="49"/>
  <c r="N18" i="49"/>
  <c r="H18" i="49"/>
  <c r="Q18" i="49" s="1"/>
  <c r="AP17" i="49"/>
  <c r="AO17" i="49" s="1"/>
  <c r="AN17" i="49"/>
  <c r="AM17" i="49" s="1"/>
  <c r="AL17" i="49"/>
  <c r="AJ17" i="49"/>
  <c r="AH17" i="49"/>
  <c r="AG17" i="49" s="1"/>
  <c r="AF17" i="49"/>
  <c r="P17" i="49"/>
  <c r="O17" i="49"/>
  <c r="N17" i="49"/>
  <c r="H17" i="49"/>
  <c r="Q17" i="49" s="1"/>
  <c r="AP16" i="49"/>
  <c r="AO16" i="49" s="1"/>
  <c r="AN16" i="49"/>
  <c r="AM16" i="49" s="1"/>
  <c r="AL16" i="49"/>
  <c r="AJ16" i="49"/>
  <c r="AH16" i="49"/>
  <c r="AG16" i="49" s="1"/>
  <c r="AF16" i="49"/>
  <c r="P16" i="49"/>
  <c r="O16" i="49"/>
  <c r="N16" i="49"/>
  <c r="H16" i="49"/>
  <c r="Q16" i="49" s="1"/>
  <c r="AP15" i="49"/>
  <c r="AO15" i="49" s="1"/>
  <c r="AN15" i="49"/>
  <c r="AM15" i="49" s="1"/>
  <c r="AL15" i="49"/>
  <c r="AJ15" i="49"/>
  <c r="AH15" i="49"/>
  <c r="AG15" i="49" s="1"/>
  <c r="AF15" i="49"/>
  <c r="P15" i="49"/>
  <c r="O15" i="49"/>
  <c r="N15" i="49"/>
  <c r="H15" i="49"/>
  <c r="Q15" i="49" s="1"/>
  <c r="AP14" i="49"/>
  <c r="AO14" i="49" s="1"/>
  <c r="AN14" i="49"/>
  <c r="AM14" i="49" s="1"/>
  <c r="AL14" i="49"/>
  <c r="AJ14" i="49"/>
  <c r="AH14" i="49"/>
  <c r="AG14" i="49"/>
  <c r="AF14" i="49"/>
  <c r="P14" i="49"/>
  <c r="O14" i="49"/>
  <c r="N14" i="49"/>
  <c r="H14" i="49"/>
  <c r="Q14" i="49" s="1"/>
  <c r="AP13" i="49"/>
  <c r="AO13" i="49" s="1"/>
  <c r="AN13" i="49"/>
  <c r="AM13" i="49" s="1"/>
  <c r="AL13" i="49"/>
  <c r="AK13" i="49" s="1"/>
  <c r="AJ13" i="49"/>
  <c r="AI13" i="49" s="1"/>
  <c r="AH13" i="49"/>
  <c r="AG13" i="49" s="1"/>
  <c r="AF13" i="49"/>
  <c r="AE13" i="49" s="1"/>
  <c r="R13" i="49"/>
  <c r="AP12" i="49"/>
  <c r="AO12" i="49"/>
  <c r="AN12" i="49"/>
  <c r="AM12" i="49"/>
  <c r="AL12" i="49"/>
  <c r="AK12" i="49"/>
  <c r="AJ12" i="49"/>
  <c r="AI12" i="49"/>
  <c r="AH12" i="49"/>
  <c r="AG12" i="49"/>
  <c r="AF12" i="49"/>
  <c r="AE12" i="49"/>
  <c r="AD12" i="49" s="1"/>
  <c r="AP11" i="49"/>
  <c r="AO11" i="49" s="1"/>
  <c r="AN11" i="49"/>
  <c r="AM11" i="49" s="1"/>
  <c r="AL11" i="49"/>
  <c r="AK11" i="49" s="1"/>
  <c r="AJ11" i="49"/>
  <c r="AI11" i="49" s="1"/>
  <c r="AH11" i="49"/>
  <c r="AG11" i="49" s="1"/>
  <c r="AF11" i="49"/>
  <c r="AE11" i="49" s="1"/>
  <c r="P11" i="49"/>
  <c r="O11" i="49"/>
  <c r="N11" i="49"/>
  <c r="H11" i="49"/>
  <c r="Q11" i="49" s="1"/>
  <c r="AP10" i="49"/>
  <c r="AO10" i="49" s="1"/>
  <c r="AN10" i="49"/>
  <c r="AM10" i="49" s="1"/>
  <c r="AL10" i="49"/>
  <c r="AJ10" i="49"/>
  <c r="AH10" i="49"/>
  <c r="AG10" i="49"/>
  <c r="AF10" i="49"/>
  <c r="P10" i="49"/>
  <c r="O10" i="49"/>
  <c r="N10" i="49"/>
  <c r="H10" i="49"/>
  <c r="Q10" i="49" s="1"/>
  <c r="AP9" i="49"/>
  <c r="AO9" i="49" s="1"/>
  <c r="AN9" i="49"/>
  <c r="AM9" i="49" s="1"/>
  <c r="AL9" i="49"/>
  <c r="AJ9" i="49"/>
  <c r="AH9" i="49"/>
  <c r="AG9" i="49" s="1"/>
  <c r="AF9" i="49"/>
  <c r="P9" i="49"/>
  <c r="O9" i="49"/>
  <c r="N9" i="49"/>
  <c r="H9" i="49"/>
  <c r="Q9" i="49" s="1"/>
  <c r="AP8" i="49"/>
  <c r="AO8" i="49" s="1"/>
  <c r="AN8" i="49"/>
  <c r="AM8" i="49" s="1"/>
  <c r="AL8" i="49"/>
  <c r="AJ8" i="49"/>
  <c r="AH8" i="49"/>
  <c r="AG8" i="49" s="1"/>
  <c r="AF8" i="49"/>
  <c r="P8" i="49"/>
  <c r="O8" i="49"/>
  <c r="N8" i="49"/>
  <c r="H8" i="49"/>
  <c r="Q8" i="49" s="1"/>
  <c r="AP7" i="49"/>
  <c r="AO7" i="49" s="1"/>
  <c r="AN7" i="49"/>
  <c r="AM7" i="49" s="1"/>
  <c r="AL7" i="49"/>
  <c r="AJ7" i="49"/>
  <c r="AH7" i="49"/>
  <c r="AG7" i="49" s="1"/>
  <c r="AF7" i="49"/>
  <c r="P7" i="49"/>
  <c r="O7" i="49"/>
  <c r="N7" i="49"/>
  <c r="H7" i="49"/>
  <c r="Q7" i="49" s="1"/>
  <c r="AP6" i="49"/>
  <c r="AO6" i="49" s="1"/>
  <c r="AN6" i="49"/>
  <c r="AM6" i="49" s="1"/>
  <c r="AL6" i="49"/>
  <c r="AK6" i="49" s="1"/>
  <c r="AJ6" i="49"/>
  <c r="AI6" i="49" s="1"/>
  <c r="AH6" i="49"/>
  <c r="AG6" i="49" s="1"/>
  <c r="AF6" i="49"/>
  <c r="AE6" i="49" s="1"/>
  <c r="R6" i="49"/>
  <c r="I18" i="49" s="1"/>
  <c r="X8" i="4"/>
  <c r="M48" i="4"/>
  <c r="B48" i="4"/>
  <c r="A48" i="4" s="1"/>
  <c r="D48" i="4"/>
  <c r="C48" i="4" s="1"/>
  <c r="B311" i="48"/>
  <c r="B312" i="48"/>
  <c r="AF18" i="48"/>
  <c r="AH18" i="48"/>
  <c r="AJ18" i="48"/>
  <c r="AI18" i="48" s="1"/>
  <c r="AL18" i="48"/>
  <c r="AK18" i="48" s="1"/>
  <c r="AN18" i="48"/>
  <c r="AM18" i="48" s="1"/>
  <c r="AP18" i="48"/>
  <c r="AO18" i="48" s="1"/>
  <c r="AF19" i="48"/>
  <c r="AH19" i="48"/>
  <c r="AJ19" i="48"/>
  <c r="AI19" i="48" s="1"/>
  <c r="AL19" i="48"/>
  <c r="AK19" i="48" s="1"/>
  <c r="AN19" i="48"/>
  <c r="AM19" i="48" s="1"/>
  <c r="AP19" i="48"/>
  <c r="AO19" i="48" s="1"/>
  <c r="AF20" i="48"/>
  <c r="AH20" i="48"/>
  <c r="AJ20" i="48"/>
  <c r="AI20" i="48" s="1"/>
  <c r="AL20" i="48"/>
  <c r="AK20" i="48" s="1"/>
  <c r="AN20" i="48"/>
  <c r="AM20" i="48" s="1"/>
  <c r="AP20" i="48"/>
  <c r="AO20" i="48" s="1"/>
  <c r="W19" i="48"/>
  <c r="Y19" i="48"/>
  <c r="AA19" i="48"/>
  <c r="AB19" i="48" s="1"/>
  <c r="W20" i="48"/>
  <c r="Y20" i="48"/>
  <c r="AA20" i="48"/>
  <c r="AB20" i="48" s="1"/>
  <c r="A4" i="48"/>
  <c r="A3" i="48"/>
  <c r="A2" i="48"/>
  <c r="A1" i="48"/>
  <c r="AA18" i="48"/>
  <c r="Y18" i="48"/>
  <c r="AB18" i="48" s="1"/>
  <c r="W18" i="48"/>
  <c r="AP17" i="48"/>
  <c r="AO17" i="48" s="1"/>
  <c r="AN17" i="48"/>
  <c r="AM17" i="48" s="1"/>
  <c r="AL17" i="48"/>
  <c r="AK17" i="48" s="1"/>
  <c r="AJ17" i="48"/>
  <c r="AI17" i="48" s="1"/>
  <c r="AH17" i="48"/>
  <c r="AF17" i="48"/>
  <c r="AA17" i="48"/>
  <c r="Y17" i="48"/>
  <c r="AB17" i="48" s="1"/>
  <c r="W17" i="48"/>
  <c r="AP16" i="48"/>
  <c r="AO16" i="48" s="1"/>
  <c r="AN16" i="48"/>
  <c r="AM16" i="48" s="1"/>
  <c r="AL16" i="48"/>
  <c r="AK16" i="48" s="1"/>
  <c r="AJ16" i="48"/>
  <c r="AI16" i="48" s="1"/>
  <c r="AH16" i="48"/>
  <c r="AF16" i="48"/>
  <c r="AA16" i="48"/>
  <c r="Y16" i="48"/>
  <c r="AB16" i="48" s="1"/>
  <c r="W16" i="48"/>
  <c r="AP15" i="48"/>
  <c r="AO15" i="48" s="1"/>
  <c r="AN15" i="48"/>
  <c r="AM15" i="48" s="1"/>
  <c r="AL15" i="48"/>
  <c r="AK15" i="48" s="1"/>
  <c r="AJ15" i="48"/>
  <c r="AI15" i="48" s="1"/>
  <c r="AH15" i="48"/>
  <c r="AF15" i="48"/>
  <c r="AA15" i="48"/>
  <c r="Y15" i="48"/>
  <c r="AB15" i="48" s="1"/>
  <c r="W15" i="48"/>
  <c r="AP14" i="48"/>
  <c r="AO14" i="48" s="1"/>
  <c r="AN14" i="48"/>
  <c r="AM14" i="48" s="1"/>
  <c r="AL14" i="48"/>
  <c r="AK14" i="48" s="1"/>
  <c r="AJ14" i="48"/>
  <c r="AI14" i="48" s="1"/>
  <c r="AH14" i="48"/>
  <c r="AF14" i="48"/>
  <c r="AA14" i="48"/>
  <c r="Y14" i="48"/>
  <c r="AB14" i="48" s="1"/>
  <c r="W14" i="48"/>
  <c r="AP13" i="48"/>
  <c r="AO13" i="48" s="1"/>
  <c r="AN13" i="48"/>
  <c r="AM13" i="48" s="1"/>
  <c r="AL13" i="48"/>
  <c r="AK13" i="48" s="1"/>
  <c r="AJ13" i="48"/>
  <c r="AI13" i="48" s="1"/>
  <c r="AH13" i="48"/>
  <c r="AF13" i="48"/>
  <c r="AA13" i="48"/>
  <c r="Y13" i="48"/>
  <c r="AB13" i="48" s="1"/>
  <c r="W13" i="48"/>
  <c r="AP12" i="48"/>
  <c r="AO12" i="48" s="1"/>
  <c r="AN12" i="48"/>
  <c r="AM12" i="48" s="1"/>
  <c r="AL12" i="48"/>
  <c r="AK12" i="48" s="1"/>
  <c r="AJ12" i="48"/>
  <c r="AI12" i="48" s="1"/>
  <c r="AH12" i="48"/>
  <c r="AF12" i="48"/>
  <c r="AA12" i="48"/>
  <c r="Y12" i="48"/>
  <c r="AB12" i="48" s="1"/>
  <c r="W12" i="48"/>
  <c r="AP11" i="48"/>
  <c r="AO11" i="48" s="1"/>
  <c r="AN11" i="48"/>
  <c r="AM11" i="48" s="1"/>
  <c r="AL11" i="48"/>
  <c r="AK11" i="48" s="1"/>
  <c r="AJ11" i="48"/>
  <c r="AI11" i="48" s="1"/>
  <c r="AH11" i="48"/>
  <c r="AF11" i="48"/>
  <c r="AA11" i="48"/>
  <c r="Y11" i="48"/>
  <c r="AB11" i="48" s="1"/>
  <c r="W11" i="48"/>
  <c r="AP10" i="48"/>
  <c r="AO10" i="48" s="1"/>
  <c r="AN10" i="48"/>
  <c r="AM10" i="48" s="1"/>
  <c r="AL10" i="48"/>
  <c r="AK10" i="48" s="1"/>
  <c r="AJ10" i="48"/>
  <c r="AI10" i="48" s="1"/>
  <c r="AH10" i="48"/>
  <c r="AF10" i="48"/>
  <c r="AA10" i="48"/>
  <c r="Y10" i="48"/>
  <c r="AB10" i="48" s="1"/>
  <c r="W10" i="48"/>
  <c r="AP9" i="48"/>
  <c r="AO9" i="48" s="1"/>
  <c r="AN9" i="48"/>
  <c r="AM9" i="48" s="1"/>
  <c r="AL9" i="48"/>
  <c r="AK9" i="48" s="1"/>
  <c r="AJ9" i="48"/>
  <c r="AI9" i="48" s="1"/>
  <c r="AH9" i="48"/>
  <c r="AF9" i="48"/>
  <c r="AA9" i="48"/>
  <c r="Y9" i="48"/>
  <c r="AB9" i="48" s="1"/>
  <c r="W9" i="48"/>
  <c r="AP8" i="48"/>
  <c r="AO8" i="48" s="1"/>
  <c r="AN8" i="48"/>
  <c r="AM8" i="48" s="1"/>
  <c r="AL8" i="48"/>
  <c r="AK8" i="48" s="1"/>
  <c r="AJ8" i="48"/>
  <c r="AI8" i="48" s="1"/>
  <c r="AH8" i="48"/>
  <c r="AF8" i="48"/>
  <c r="AA8" i="48"/>
  <c r="Y8" i="48"/>
  <c r="AB8" i="48" s="1"/>
  <c r="W8" i="48"/>
  <c r="AP7" i="48"/>
  <c r="AO7" i="48"/>
  <c r="AN7" i="48"/>
  <c r="AM7" i="48"/>
  <c r="AL7" i="48"/>
  <c r="AK7" i="48"/>
  <c r="AJ7" i="48"/>
  <c r="AI7" i="48"/>
  <c r="AH7" i="48"/>
  <c r="AG7" i="48"/>
  <c r="AF7" i="48"/>
  <c r="AE7" i="48"/>
  <c r="AD7" i="48" s="1"/>
  <c r="AP6" i="48"/>
  <c r="AO6" i="48" s="1"/>
  <c r="AN6" i="48"/>
  <c r="AM6" i="48" s="1"/>
  <c r="AL6" i="48"/>
  <c r="AK6" i="48" s="1"/>
  <c r="AJ6" i="48"/>
  <c r="AI6" i="48" s="1"/>
  <c r="AH6" i="48"/>
  <c r="AG6" i="48" s="1"/>
  <c r="AF6" i="48"/>
  <c r="AE6" i="48" s="1"/>
  <c r="B310" i="48"/>
  <c r="W22" i="28"/>
  <c r="P8" i="4"/>
  <c r="Q8" i="4"/>
  <c r="R8" i="4"/>
  <c r="S8" i="4"/>
  <c r="V8" i="4"/>
  <c r="M62" i="4"/>
  <c r="D62" i="4"/>
  <c r="C62" i="4" s="1"/>
  <c r="B300" i="46"/>
  <c r="B301" i="46"/>
  <c r="B302" i="46"/>
  <c r="B303" i="46"/>
  <c r="B304" i="46"/>
  <c r="B305" i="46"/>
  <c r="B306" i="46"/>
  <c r="B307" i="46"/>
  <c r="B308" i="46"/>
  <c r="B309" i="46"/>
  <c r="B310" i="46"/>
  <c r="B311" i="46"/>
  <c r="B312" i="46"/>
  <c r="B313" i="46"/>
  <c r="B314" i="46"/>
  <c r="B315" i="46"/>
  <c r="B316" i="46"/>
  <c r="B317" i="46"/>
  <c r="B318" i="46"/>
  <c r="B319" i="46"/>
  <c r="B320" i="46"/>
  <c r="B321" i="46"/>
  <c r="B322" i="46"/>
  <c r="B323" i="46"/>
  <c r="W29" i="46"/>
  <c r="Y29" i="46"/>
  <c r="AA29" i="46"/>
  <c r="AB29" i="46" s="1"/>
  <c r="AE29" i="46"/>
  <c r="W30" i="46"/>
  <c r="Y30" i="46"/>
  <c r="AA30" i="46"/>
  <c r="AB30" i="46"/>
  <c r="AE30" i="46"/>
  <c r="W31" i="46"/>
  <c r="Y31" i="46"/>
  <c r="AA31" i="46"/>
  <c r="AB31" i="46" s="1"/>
  <c r="AE31" i="46"/>
  <c r="A4" i="46"/>
  <c r="A3" i="46"/>
  <c r="A2" i="46"/>
  <c r="A1" i="46"/>
  <c r="AE28" i="46"/>
  <c r="AA28" i="46"/>
  <c r="Y28" i="46"/>
  <c r="W28" i="46"/>
  <c r="AE27" i="46"/>
  <c r="AA27" i="46"/>
  <c r="Y27" i="46"/>
  <c r="AB27" i="46" s="1"/>
  <c r="W27" i="46"/>
  <c r="AE26" i="46"/>
  <c r="AA26" i="46"/>
  <c r="Y26" i="46"/>
  <c r="AB26" i="46" s="1"/>
  <c r="W26" i="46"/>
  <c r="AE25" i="46"/>
  <c r="AA25" i="46"/>
  <c r="Y25" i="46"/>
  <c r="AB25" i="46" s="1"/>
  <c r="W25" i="46"/>
  <c r="AE24" i="46"/>
  <c r="AA24" i="46"/>
  <c r="Y24" i="46"/>
  <c r="AB24" i="46" s="1"/>
  <c r="W24" i="46"/>
  <c r="AE23" i="46"/>
  <c r="AA23" i="46"/>
  <c r="Y23" i="46"/>
  <c r="AB23" i="46" s="1"/>
  <c r="W23" i="46"/>
  <c r="AE22" i="46"/>
  <c r="AA22" i="46"/>
  <c r="Y22" i="46"/>
  <c r="AB22" i="46" s="1"/>
  <c r="W22" i="46"/>
  <c r="AE21" i="46"/>
  <c r="AA21" i="46"/>
  <c r="Y21" i="46"/>
  <c r="AB21" i="46" s="1"/>
  <c r="W21" i="46"/>
  <c r="AE20" i="46"/>
  <c r="AA20" i="46"/>
  <c r="Y20" i="46"/>
  <c r="AB20" i="46" s="1"/>
  <c r="W20" i="46"/>
  <c r="AE19" i="46"/>
  <c r="AA19" i="46"/>
  <c r="Y19" i="46"/>
  <c r="AB19" i="46" s="1"/>
  <c r="W19" i="46"/>
  <c r="AE18" i="46"/>
  <c r="AA18" i="46"/>
  <c r="Y18" i="46"/>
  <c r="AB18" i="46" s="1"/>
  <c r="W18" i="46"/>
  <c r="AE17" i="46"/>
  <c r="AA17" i="46"/>
  <c r="Y17" i="46"/>
  <c r="AB17" i="46" s="1"/>
  <c r="W17" i="46"/>
  <c r="AE16" i="46"/>
  <c r="AA16" i="46"/>
  <c r="Y16" i="46"/>
  <c r="AB16" i="46" s="1"/>
  <c r="W16" i="46"/>
  <c r="AE15" i="46"/>
  <c r="AA15" i="46"/>
  <c r="Y15" i="46"/>
  <c r="AB15" i="46" s="1"/>
  <c r="W15" i="46"/>
  <c r="AE14" i="46"/>
  <c r="AA14" i="46"/>
  <c r="Y14" i="46"/>
  <c r="AB14" i="46" s="1"/>
  <c r="W14" i="46"/>
  <c r="AE13" i="46"/>
  <c r="AA13" i="46"/>
  <c r="Y13" i="46"/>
  <c r="AB13" i="46" s="1"/>
  <c r="W13" i="46"/>
  <c r="AE12" i="46"/>
  <c r="AA12" i="46"/>
  <c r="Y12" i="46"/>
  <c r="AB12" i="46" s="1"/>
  <c r="W12" i="46"/>
  <c r="AE11" i="46"/>
  <c r="AA11" i="46"/>
  <c r="Y11" i="46"/>
  <c r="AB11" i="46" s="1"/>
  <c r="W11" i="46"/>
  <c r="AE10" i="46"/>
  <c r="AA10" i="46"/>
  <c r="Y10" i="46"/>
  <c r="AB10" i="46" s="1"/>
  <c r="W10" i="46"/>
  <c r="AE9" i="46"/>
  <c r="AA9" i="46"/>
  <c r="Y9" i="46"/>
  <c r="AB9" i="46" s="1"/>
  <c r="W9" i="46"/>
  <c r="AE8" i="46"/>
  <c r="AA8" i="46"/>
  <c r="Y8" i="46"/>
  <c r="AB8" i="46" s="1"/>
  <c r="W8" i="46"/>
  <c r="P7" i="10"/>
  <c r="Q7" i="10"/>
  <c r="P8" i="10"/>
  <c r="Q8" i="10"/>
  <c r="P9" i="10"/>
  <c r="Q9" i="10"/>
  <c r="P10" i="10"/>
  <c r="Q10" i="10"/>
  <c r="P11" i="10"/>
  <c r="Q11" i="10"/>
  <c r="P12" i="10"/>
  <c r="Q12" i="10"/>
  <c r="P13" i="10"/>
  <c r="Q13" i="10"/>
  <c r="P14" i="10"/>
  <c r="Q14" i="10"/>
  <c r="P15" i="10"/>
  <c r="Q15" i="10"/>
  <c r="P16" i="10"/>
  <c r="Q16" i="10"/>
  <c r="P17" i="10"/>
  <c r="Q17" i="10"/>
  <c r="P18" i="10"/>
  <c r="Q18" i="10"/>
  <c r="P19" i="10"/>
  <c r="Q19" i="10"/>
  <c r="P20" i="10"/>
  <c r="Q20" i="10"/>
  <c r="P21" i="10"/>
  <c r="Q21" i="10"/>
  <c r="Q30" i="10" s="1"/>
  <c r="P22" i="10"/>
  <c r="Q22" i="10"/>
  <c r="P23" i="10"/>
  <c r="Q23" i="10"/>
  <c r="P24" i="10"/>
  <c r="Q24" i="10"/>
  <c r="P25" i="10"/>
  <c r="Q25" i="10"/>
  <c r="P26" i="10"/>
  <c r="Q26" i="10"/>
  <c r="P27" i="10"/>
  <c r="Q27" i="10"/>
  <c r="P28" i="10"/>
  <c r="Q28" i="10"/>
  <c r="P29" i="10"/>
  <c r="Q29" i="10"/>
  <c r="P30" i="10"/>
  <c r="AE8" i="32"/>
  <c r="AE28" i="32"/>
  <c r="AE27" i="32"/>
  <c r="AE26" i="32"/>
  <c r="AE25" i="32"/>
  <c r="AE24" i="32"/>
  <c r="AE23" i="32"/>
  <c r="AE22" i="32"/>
  <c r="AE21" i="32"/>
  <c r="AE20" i="32"/>
  <c r="AE19" i="32"/>
  <c r="AE18" i="32"/>
  <c r="AE17" i="32"/>
  <c r="AE16" i="32"/>
  <c r="AE15" i="32"/>
  <c r="AE14" i="32"/>
  <c r="AE13" i="32"/>
  <c r="AE12" i="32"/>
  <c r="AE11" i="32"/>
  <c r="AE10" i="32"/>
  <c r="AE9" i="32"/>
  <c r="W26" i="32"/>
  <c r="Y26" i="32"/>
  <c r="AA26" i="32"/>
  <c r="AB26" i="32" s="1"/>
  <c r="W27" i="32"/>
  <c r="Y27" i="32"/>
  <c r="AA27" i="32"/>
  <c r="W28" i="32"/>
  <c r="Y28" i="32"/>
  <c r="AA28" i="32"/>
  <c r="AB28" i="32" s="1"/>
  <c r="R4" i="10"/>
  <c r="R38" i="52" l="1"/>
  <c r="S38" i="52" s="1"/>
  <c r="R52" i="52"/>
  <c r="S52" i="52" s="1"/>
  <c r="R38" i="51"/>
  <c r="S38" i="51" s="1"/>
  <c r="R52" i="51"/>
  <c r="S52" i="51" s="1"/>
  <c r="AD6" i="49"/>
  <c r="AD18" i="49"/>
  <c r="AD20" i="49"/>
  <c r="AD22" i="49"/>
  <c r="T43" i="52"/>
  <c r="T45" i="52"/>
  <c r="T57" i="52"/>
  <c r="T59" i="52"/>
  <c r="I21" i="52"/>
  <c r="I22" i="52"/>
  <c r="I23" i="52"/>
  <c r="I24" i="52"/>
  <c r="L7" i="52"/>
  <c r="J7" i="52"/>
  <c r="T7" i="52" s="1"/>
  <c r="I18" i="52"/>
  <c r="I17" i="52"/>
  <c r="I16" i="52"/>
  <c r="I15" i="52"/>
  <c r="I14" i="52"/>
  <c r="I8" i="52"/>
  <c r="L8" i="52"/>
  <c r="J8" i="52"/>
  <c r="I9" i="52"/>
  <c r="L9" i="52"/>
  <c r="J9" i="52"/>
  <c r="I10" i="52"/>
  <c r="L10" i="52"/>
  <c r="J10" i="52"/>
  <c r="I11" i="52"/>
  <c r="L11" i="52"/>
  <c r="J11" i="52"/>
  <c r="L14" i="52"/>
  <c r="L15" i="52"/>
  <c r="L16" i="52"/>
  <c r="L17" i="52"/>
  <c r="L18" i="52"/>
  <c r="L28" i="52"/>
  <c r="J28" i="52"/>
  <c r="L29" i="52"/>
  <c r="J29" i="52"/>
  <c r="L30" i="52"/>
  <c r="J30" i="52"/>
  <c r="I7" i="52"/>
  <c r="J14" i="52"/>
  <c r="T14" i="52" s="1"/>
  <c r="J15" i="52"/>
  <c r="J16" i="52"/>
  <c r="T16" i="52" s="1"/>
  <c r="J17" i="52"/>
  <c r="J18" i="52"/>
  <c r="T18" i="52" s="1"/>
  <c r="L31" i="52"/>
  <c r="J31" i="52"/>
  <c r="J21" i="52"/>
  <c r="T21" i="52" s="1"/>
  <c r="L21" i="52"/>
  <c r="J22" i="52"/>
  <c r="T22" i="52" s="1"/>
  <c r="L22" i="52"/>
  <c r="J23" i="52"/>
  <c r="T23" i="52" s="1"/>
  <c r="L23" i="52"/>
  <c r="J24" i="52"/>
  <c r="T24" i="52" s="1"/>
  <c r="L24" i="52"/>
  <c r="J25" i="52"/>
  <c r="T25" i="52" s="1"/>
  <c r="K25" i="52" s="1"/>
  <c r="L25" i="52"/>
  <c r="I28" i="52"/>
  <c r="I29" i="52"/>
  <c r="I30" i="52"/>
  <c r="I31" i="52"/>
  <c r="L32" i="52"/>
  <c r="J32" i="52"/>
  <c r="T32" i="52" s="1"/>
  <c r="R35" i="52"/>
  <c r="S35" i="52" s="1"/>
  <c r="R37" i="52"/>
  <c r="S37" i="52" s="1"/>
  <c r="R39" i="52"/>
  <c r="S39" i="52" s="1"/>
  <c r="R42" i="52"/>
  <c r="S42" i="52" s="1"/>
  <c r="R44" i="52"/>
  <c r="S44" i="52" s="1"/>
  <c r="R46" i="52"/>
  <c r="S46" i="52" s="1"/>
  <c r="R49" i="52"/>
  <c r="S49" i="52" s="1"/>
  <c r="R51" i="52"/>
  <c r="S51" i="52" s="1"/>
  <c r="R53" i="52"/>
  <c r="S53" i="52" s="1"/>
  <c r="R56" i="52"/>
  <c r="S56" i="52" s="1"/>
  <c r="R58" i="52"/>
  <c r="S58" i="52" s="1"/>
  <c r="R60" i="52"/>
  <c r="S60" i="52" s="1"/>
  <c r="AD28" i="49"/>
  <c r="AD30" i="49"/>
  <c r="AD31" i="49"/>
  <c r="AD6" i="51"/>
  <c r="AD12" i="51"/>
  <c r="AD26" i="51"/>
  <c r="AD31" i="51"/>
  <c r="AD13" i="51"/>
  <c r="AD18" i="51"/>
  <c r="AD27" i="51"/>
  <c r="AD11" i="51"/>
  <c r="AD32" i="51"/>
  <c r="R43" i="51"/>
  <c r="S43" i="51" s="1"/>
  <c r="R45" i="51"/>
  <c r="S45" i="51" s="1"/>
  <c r="R57" i="51"/>
  <c r="S57" i="51" s="1"/>
  <c r="R59" i="51"/>
  <c r="S59" i="51" s="1"/>
  <c r="AD19" i="51"/>
  <c r="I21" i="51"/>
  <c r="I22" i="51"/>
  <c r="I23" i="51"/>
  <c r="I24" i="51"/>
  <c r="L7" i="51"/>
  <c r="J7" i="51"/>
  <c r="T7" i="51" s="1"/>
  <c r="I18" i="51"/>
  <c r="I17" i="51"/>
  <c r="I16" i="51"/>
  <c r="I15" i="51"/>
  <c r="I14" i="51"/>
  <c r="I7" i="51"/>
  <c r="J14" i="51"/>
  <c r="J15" i="51"/>
  <c r="T15" i="51" s="1"/>
  <c r="J16" i="51"/>
  <c r="J17" i="51"/>
  <c r="T17" i="51" s="1"/>
  <c r="J18" i="51"/>
  <c r="L28" i="51"/>
  <c r="J28" i="51"/>
  <c r="L29" i="51"/>
  <c r="J29" i="51"/>
  <c r="L30" i="51"/>
  <c r="J30" i="51"/>
  <c r="I8" i="51"/>
  <c r="L8" i="51"/>
  <c r="J8" i="51"/>
  <c r="I9" i="51"/>
  <c r="L9" i="51"/>
  <c r="J9" i="51"/>
  <c r="I10" i="51"/>
  <c r="L10" i="51"/>
  <c r="J10" i="51"/>
  <c r="I11" i="51"/>
  <c r="L11" i="51"/>
  <c r="J11" i="51"/>
  <c r="L14" i="51"/>
  <c r="L15" i="51"/>
  <c r="L16" i="51"/>
  <c r="L17" i="51"/>
  <c r="L18" i="51"/>
  <c r="AD20" i="51"/>
  <c r="AD24" i="51"/>
  <c r="AD25" i="51"/>
  <c r="L31" i="51"/>
  <c r="J31" i="51"/>
  <c r="T31" i="51" s="1"/>
  <c r="J21" i="51"/>
  <c r="T21" i="51" s="1"/>
  <c r="L21" i="51"/>
  <c r="J22" i="51"/>
  <c r="T22" i="51" s="1"/>
  <c r="L22" i="51"/>
  <c r="J23" i="51"/>
  <c r="T23" i="51" s="1"/>
  <c r="L23" i="51"/>
  <c r="J24" i="51"/>
  <c r="T24" i="51" s="1"/>
  <c r="L24" i="51"/>
  <c r="J25" i="51"/>
  <c r="T25" i="51" s="1"/>
  <c r="K25" i="51" s="1"/>
  <c r="R25" i="51" s="1"/>
  <c r="L25" i="51"/>
  <c r="I28" i="51"/>
  <c r="I29" i="51"/>
  <c r="I30" i="51"/>
  <c r="I31" i="51"/>
  <c r="L32" i="51"/>
  <c r="J32" i="51"/>
  <c r="T32" i="51" s="1"/>
  <c r="R35" i="51"/>
  <c r="S35" i="51" s="1"/>
  <c r="R37" i="51"/>
  <c r="S37" i="51" s="1"/>
  <c r="R39" i="51"/>
  <c r="S39" i="51" s="1"/>
  <c r="R42" i="51"/>
  <c r="S42" i="51" s="1"/>
  <c r="R44" i="51"/>
  <c r="S44" i="51" s="1"/>
  <c r="R46" i="51"/>
  <c r="S46" i="51" s="1"/>
  <c r="R49" i="51"/>
  <c r="S49" i="51" s="1"/>
  <c r="R51" i="51"/>
  <c r="S51" i="51" s="1"/>
  <c r="R53" i="51"/>
  <c r="S53" i="51" s="1"/>
  <c r="R56" i="51"/>
  <c r="S56" i="51" s="1"/>
  <c r="R58" i="51"/>
  <c r="S58" i="51" s="1"/>
  <c r="R60" i="51"/>
  <c r="S60" i="51" s="1"/>
  <c r="B301" i="50"/>
  <c r="B303" i="50"/>
  <c r="B305" i="50"/>
  <c r="B307" i="50"/>
  <c r="B309" i="50"/>
  <c r="B311" i="50"/>
  <c r="B313" i="50"/>
  <c r="B315" i="50"/>
  <c r="B317" i="50"/>
  <c r="B319" i="50"/>
  <c r="B300" i="50"/>
  <c r="B302" i="50"/>
  <c r="B304" i="50"/>
  <c r="B306" i="50"/>
  <c r="B308" i="50"/>
  <c r="B310" i="50"/>
  <c r="B312" i="50"/>
  <c r="B314" i="50"/>
  <c r="B316" i="50"/>
  <c r="B318" i="50"/>
  <c r="AD13" i="49"/>
  <c r="L7" i="49"/>
  <c r="J7" i="49"/>
  <c r="T7" i="49" s="1"/>
  <c r="L9" i="49"/>
  <c r="J9" i="49"/>
  <c r="T9" i="49" s="1"/>
  <c r="L11" i="49"/>
  <c r="J11" i="49"/>
  <c r="AD11" i="49"/>
  <c r="L8" i="49"/>
  <c r="J8" i="49"/>
  <c r="T8" i="49" s="1"/>
  <c r="L10" i="49"/>
  <c r="J10" i="49"/>
  <c r="T10" i="49" s="1"/>
  <c r="K10" i="49" s="1"/>
  <c r="L14" i="49"/>
  <c r="J14" i="49"/>
  <c r="T14" i="49" s="1"/>
  <c r="I7" i="49"/>
  <c r="I8" i="49"/>
  <c r="I9" i="49"/>
  <c r="I10" i="49"/>
  <c r="I11" i="49"/>
  <c r="I14" i="49"/>
  <c r="I15" i="49"/>
  <c r="L15" i="49"/>
  <c r="J15" i="49"/>
  <c r="I16" i="49"/>
  <c r="L16" i="49"/>
  <c r="J16" i="49"/>
  <c r="I17" i="49"/>
  <c r="L17" i="49"/>
  <c r="J17" i="49"/>
  <c r="L18" i="49"/>
  <c r="J18" i="49"/>
  <c r="T18" i="49" s="1"/>
  <c r="AD6" i="48"/>
  <c r="B301" i="48"/>
  <c r="B303" i="48"/>
  <c r="B305" i="48"/>
  <c r="B307" i="48"/>
  <c r="B309" i="48"/>
  <c r="B300" i="48"/>
  <c r="B302" i="48"/>
  <c r="B304" i="48"/>
  <c r="B306" i="48"/>
  <c r="B308" i="48"/>
  <c r="AB28" i="46"/>
  <c r="AB27" i="32"/>
  <c r="Z12" i="4" l="1"/>
  <c r="Z13" i="4"/>
  <c r="Z10" i="4"/>
  <c r="Z11" i="4"/>
  <c r="Z17" i="4"/>
  <c r="Z22" i="4"/>
  <c r="Z23" i="4"/>
  <c r="Z21" i="4"/>
  <c r="Z26" i="4"/>
  <c r="Z27" i="4"/>
  <c r="Z29" i="4"/>
  <c r="Z34" i="4"/>
  <c r="Z35" i="4"/>
  <c r="Z37" i="4"/>
  <c r="Z32" i="4"/>
  <c r="Z38" i="4"/>
  <c r="Z40" i="4"/>
  <c r="Z41" i="4"/>
  <c r="Z42" i="4"/>
  <c r="Z48" i="4"/>
  <c r="Z50" i="4"/>
  <c r="Z52" i="4"/>
  <c r="Z46" i="4"/>
  <c r="Z53" i="4"/>
  <c r="Z58" i="4"/>
  <c r="Z61" i="4"/>
  <c r="Z8" i="4"/>
  <c r="Z9" i="4"/>
  <c r="Z14" i="4"/>
  <c r="Z15" i="4"/>
  <c r="Z16" i="4"/>
  <c r="Z20" i="4"/>
  <c r="Z19" i="4"/>
  <c r="Z18" i="4"/>
  <c r="Z24" i="4"/>
  <c r="Z25" i="4"/>
  <c r="Z28" i="4"/>
  <c r="Z31" i="4"/>
  <c r="Z33" i="4"/>
  <c r="Z36" i="4"/>
  <c r="Z30" i="4"/>
  <c r="Z39" i="4"/>
  <c r="Z45" i="4"/>
  <c r="Z43" i="4"/>
  <c r="Z44" i="4"/>
  <c r="Z47" i="4"/>
  <c r="Z49" i="4"/>
  <c r="Z51" i="4"/>
  <c r="Z54" i="4"/>
  <c r="Z55" i="4"/>
  <c r="Z57" i="4"/>
  <c r="Z59" i="4"/>
  <c r="Z60" i="4"/>
  <c r="Z62" i="4"/>
  <c r="Z56" i="4"/>
  <c r="R25" i="52"/>
  <c r="B116" i="52"/>
  <c r="C129" i="52" s="1"/>
  <c r="E128" i="52" s="1"/>
  <c r="H129" i="52" s="1"/>
  <c r="K24" i="52"/>
  <c r="R24" i="52" s="1"/>
  <c r="K22" i="52"/>
  <c r="R22" i="52" s="1"/>
  <c r="K21" i="52"/>
  <c r="R21" i="52" s="1"/>
  <c r="K23" i="52"/>
  <c r="R23" i="52" s="1"/>
  <c r="T31" i="52"/>
  <c r="B104" i="52"/>
  <c r="C123" i="52" s="1"/>
  <c r="E124" i="52" s="1"/>
  <c r="H126" i="52" s="1"/>
  <c r="B108" i="52"/>
  <c r="C107" i="52" s="1"/>
  <c r="E105" i="52" s="1"/>
  <c r="H114" i="52" s="1"/>
  <c r="B112" i="52"/>
  <c r="C127" i="52" s="1"/>
  <c r="E133" i="52" s="1"/>
  <c r="H132" i="52" s="1"/>
  <c r="B140" i="52"/>
  <c r="C141" i="52" s="1"/>
  <c r="E143" i="52" s="1"/>
  <c r="H152" i="52" s="1"/>
  <c r="B144" i="52"/>
  <c r="C145" i="52" s="1"/>
  <c r="E155" i="52" s="1"/>
  <c r="H156" i="52" s="1"/>
  <c r="B148" i="52"/>
  <c r="C149" i="52" s="1"/>
  <c r="E157" i="52" s="1"/>
  <c r="H159" i="52" s="1"/>
  <c r="B152" i="52"/>
  <c r="C167" i="52" s="1"/>
  <c r="E166" i="52" s="1"/>
  <c r="H167" i="52" s="1"/>
  <c r="B154" i="52"/>
  <c r="C153" i="52" s="1"/>
  <c r="E151" i="52" s="1"/>
  <c r="H147" i="52" s="1"/>
  <c r="T30" i="52"/>
  <c r="T29" i="52"/>
  <c r="T28" i="52"/>
  <c r="K28" i="52" s="1"/>
  <c r="R28" i="52" s="1"/>
  <c r="T11" i="52"/>
  <c r="T10" i="52"/>
  <c r="T9" i="52"/>
  <c r="T8" i="52"/>
  <c r="K8" i="52" s="1"/>
  <c r="R8" i="52" s="1"/>
  <c r="T17" i="52"/>
  <c r="T15" i="52"/>
  <c r="K15" i="52" s="1"/>
  <c r="R15" i="52" s="1"/>
  <c r="B102" i="52"/>
  <c r="C103" i="52" s="1"/>
  <c r="E117" i="52" s="1"/>
  <c r="H121" i="52" s="1"/>
  <c r="B106" i="52"/>
  <c r="C125" i="52" s="1"/>
  <c r="E131" i="52" s="1"/>
  <c r="H135" i="52" s="1"/>
  <c r="B110" i="52"/>
  <c r="C111" i="52" s="1"/>
  <c r="E113" i="52" s="1"/>
  <c r="H109" i="52" s="1"/>
  <c r="B114" i="52"/>
  <c r="C115" i="52" s="1"/>
  <c r="E119" i="52" s="1"/>
  <c r="H118" i="52" s="1"/>
  <c r="B142" i="52"/>
  <c r="C161" i="52" s="1"/>
  <c r="E162" i="52" s="1"/>
  <c r="H164" i="52" s="1"/>
  <c r="B146" i="52"/>
  <c r="C163" i="52" s="1"/>
  <c r="E169" i="52" s="1"/>
  <c r="H170" i="52" s="1"/>
  <c r="B150" i="52"/>
  <c r="C165" i="52" s="1"/>
  <c r="E171" i="52" s="1"/>
  <c r="H173" i="52" s="1"/>
  <c r="K24" i="51"/>
  <c r="R24" i="51" s="1"/>
  <c r="B116" i="51"/>
  <c r="C129" i="51" s="1"/>
  <c r="E128" i="51" s="1"/>
  <c r="H129" i="51" s="1"/>
  <c r="K22" i="51"/>
  <c r="R22" i="51" s="1"/>
  <c r="K23" i="51"/>
  <c r="R23" i="51" s="1"/>
  <c r="K21" i="51"/>
  <c r="R21" i="51" s="1"/>
  <c r="T11" i="51"/>
  <c r="T10" i="51"/>
  <c r="T9" i="51"/>
  <c r="T8" i="51"/>
  <c r="T30" i="51"/>
  <c r="T29" i="51"/>
  <c r="T28" i="51"/>
  <c r="K31" i="51" s="1"/>
  <c r="R31" i="51" s="1"/>
  <c r="B104" i="51"/>
  <c r="C123" i="51" s="1"/>
  <c r="E124" i="51" s="1"/>
  <c r="H126" i="51" s="1"/>
  <c r="B108" i="51"/>
  <c r="C107" i="51" s="1"/>
  <c r="E105" i="51" s="1"/>
  <c r="H114" i="51" s="1"/>
  <c r="B112" i="51"/>
  <c r="C127" i="51" s="1"/>
  <c r="E133" i="51" s="1"/>
  <c r="H132" i="51" s="1"/>
  <c r="B140" i="51"/>
  <c r="C141" i="51" s="1"/>
  <c r="E143" i="51" s="1"/>
  <c r="H152" i="51" s="1"/>
  <c r="B144" i="51"/>
  <c r="C145" i="51" s="1"/>
  <c r="E155" i="51" s="1"/>
  <c r="H156" i="51" s="1"/>
  <c r="B148" i="51"/>
  <c r="C149" i="51" s="1"/>
  <c r="E157" i="51" s="1"/>
  <c r="H159" i="51" s="1"/>
  <c r="B152" i="51"/>
  <c r="C167" i="51" s="1"/>
  <c r="E166" i="51" s="1"/>
  <c r="H167" i="51" s="1"/>
  <c r="B154" i="51"/>
  <c r="C153" i="51" s="1"/>
  <c r="E151" i="51" s="1"/>
  <c r="H147" i="51" s="1"/>
  <c r="T18" i="51"/>
  <c r="T16" i="51"/>
  <c r="K16" i="51" s="1"/>
  <c r="R16" i="51" s="1"/>
  <c r="T14" i="51"/>
  <c r="B102" i="51"/>
  <c r="C103" i="51" s="1"/>
  <c r="E117" i="51" s="1"/>
  <c r="H121" i="51" s="1"/>
  <c r="B106" i="51"/>
  <c r="C125" i="51" s="1"/>
  <c r="E131" i="51" s="1"/>
  <c r="H135" i="51" s="1"/>
  <c r="B110" i="51"/>
  <c r="C111" i="51" s="1"/>
  <c r="E113" i="51" s="1"/>
  <c r="H109" i="51" s="1"/>
  <c r="B114" i="51"/>
  <c r="C115" i="51" s="1"/>
  <c r="E119" i="51" s="1"/>
  <c r="H118" i="51" s="1"/>
  <c r="B142" i="51"/>
  <c r="C161" i="51" s="1"/>
  <c r="E162" i="51" s="1"/>
  <c r="H164" i="51" s="1"/>
  <c r="B146" i="51"/>
  <c r="C163" i="51" s="1"/>
  <c r="E169" i="51" s="1"/>
  <c r="H170" i="51" s="1"/>
  <c r="B150" i="51"/>
  <c r="C165" i="51" s="1"/>
  <c r="E171" i="51" s="1"/>
  <c r="H173" i="51" s="1"/>
  <c r="K9" i="49"/>
  <c r="K11" i="49"/>
  <c r="R11" i="49" s="1"/>
  <c r="K7" i="49"/>
  <c r="K8" i="49"/>
  <c r="T17" i="49"/>
  <c r="T16" i="49"/>
  <c r="T15" i="49"/>
  <c r="K15" i="49" s="1"/>
  <c r="R15" i="49" s="1"/>
  <c r="B125" i="49"/>
  <c r="C124" i="49" s="1"/>
  <c r="F125" i="49" s="1"/>
  <c r="B123" i="49"/>
  <c r="C129" i="49" s="1"/>
  <c r="F131" i="49" s="1"/>
  <c r="B121" i="49"/>
  <c r="C120" i="49" s="1"/>
  <c r="F122" i="49" s="1"/>
  <c r="B119" i="49"/>
  <c r="C127" i="49" s="1"/>
  <c r="F128" i="49" s="1"/>
  <c r="B108" i="49"/>
  <c r="C112" i="49" s="1"/>
  <c r="F114" i="49" s="1"/>
  <c r="B106" i="49"/>
  <c r="C107" i="49" s="1"/>
  <c r="F108" i="49" s="1"/>
  <c r="B104" i="49"/>
  <c r="C110" i="49" s="1"/>
  <c r="F111" i="49" s="1"/>
  <c r="B102" i="49"/>
  <c r="C103" i="49" s="1"/>
  <c r="F105" i="49" s="1"/>
  <c r="R10" i="49"/>
  <c r="R8" i="49"/>
  <c r="R9" i="49"/>
  <c r="R7" i="49"/>
  <c r="K32" i="52" l="1"/>
  <c r="R32" i="52" s="1"/>
  <c r="M25" i="52"/>
  <c r="S25" i="52" s="1"/>
  <c r="K17" i="52"/>
  <c r="R17" i="52" s="1"/>
  <c r="K9" i="52"/>
  <c r="R9" i="52" s="1"/>
  <c r="K11" i="52"/>
  <c r="R11" i="52" s="1"/>
  <c r="K29" i="52"/>
  <c r="R29" i="52" s="1"/>
  <c r="K31" i="52"/>
  <c r="R31" i="52" s="1"/>
  <c r="K16" i="52"/>
  <c r="R16" i="52" s="1"/>
  <c r="M22" i="52"/>
  <c r="S22" i="52" s="1"/>
  <c r="K10" i="52"/>
  <c r="R10" i="52" s="1"/>
  <c r="K30" i="52"/>
  <c r="R30" i="52" s="1"/>
  <c r="M23" i="52"/>
  <c r="S23" i="52" s="1"/>
  <c r="K7" i="52"/>
  <c r="R7" i="52" s="1"/>
  <c r="M8" i="52" s="1"/>
  <c r="S8" i="52" s="1"/>
  <c r="K14" i="52"/>
  <c r="R14" i="52" s="1"/>
  <c r="K18" i="52"/>
  <c r="R18" i="52" s="1"/>
  <c r="M21" i="52"/>
  <c r="S21" i="52" s="1"/>
  <c r="M24" i="52"/>
  <c r="S24" i="52" s="1"/>
  <c r="K17" i="51"/>
  <c r="R17" i="51" s="1"/>
  <c r="K29" i="51"/>
  <c r="R29" i="51" s="1"/>
  <c r="K8" i="51"/>
  <c r="R8" i="51" s="1"/>
  <c r="K10" i="51"/>
  <c r="R10" i="51" s="1"/>
  <c r="M23" i="51"/>
  <c r="S23" i="51" s="1"/>
  <c r="M22" i="51"/>
  <c r="S22" i="51" s="1"/>
  <c r="K14" i="51"/>
  <c r="R14" i="51" s="1"/>
  <c r="K18" i="51"/>
  <c r="R18" i="51" s="1"/>
  <c r="K28" i="51"/>
  <c r="R28" i="51" s="1"/>
  <c r="K30" i="51"/>
  <c r="R30" i="51" s="1"/>
  <c r="K9" i="51"/>
  <c r="R9" i="51" s="1"/>
  <c r="K11" i="51"/>
  <c r="R11" i="51" s="1"/>
  <c r="K32" i="51"/>
  <c r="R32" i="51" s="1"/>
  <c r="K15" i="51"/>
  <c r="R15" i="51" s="1"/>
  <c r="M21" i="51"/>
  <c r="S21" i="51" s="1"/>
  <c r="M25" i="51"/>
  <c r="S25" i="51" s="1"/>
  <c r="K7" i="51"/>
  <c r="R7" i="51" s="1"/>
  <c r="M24" i="51"/>
  <c r="S24" i="51" s="1"/>
  <c r="K16" i="49"/>
  <c r="R16" i="49" s="1"/>
  <c r="M11" i="49"/>
  <c r="S11" i="49" s="1"/>
  <c r="M9" i="49"/>
  <c r="S9" i="49" s="1"/>
  <c r="M10" i="49"/>
  <c r="S10" i="49" s="1"/>
  <c r="K17" i="49"/>
  <c r="R17" i="49" s="1"/>
  <c r="K14" i="49"/>
  <c r="R14" i="49" s="1"/>
  <c r="M7" i="49"/>
  <c r="S7" i="49" s="1"/>
  <c r="M8" i="49"/>
  <c r="S8" i="49" s="1"/>
  <c r="K18" i="49"/>
  <c r="R18" i="49" s="1"/>
  <c r="M14" i="52" l="1"/>
  <c r="S14" i="52" s="1"/>
  <c r="M30" i="52"/>
  <c r="S30" i="52" s="1"/>
  <c r="M16" i="52"/>
  <c r="S16" i="52" s="1"/>
  <c r="M29" i="52"/>
  <c r="S29" i="52" s="1"/>
  <c r="M9" i="52"/>
  <c r="S9" i="52" s="1"/>
  <c r="M28" i="52"/>
  <c r="S28" i="52" s="1"/>
  <c r="M15" i="52"/>
  <c r="S15" i="52" s="1"/>
  <c r="M18" i="52"/>
  <c r="S18" i="52" s="1"/>
  <c r="M7" i="52"/>
  <c r="S7" i="52" s="1"/>
  <c r="M10" i="52"/>
  <c r="S10" i="52" s="1"/>
  <c r="M31" i="52"/>
  <c r="S31" i="52" s="1"/>
  <c r="M11" i="52"/>
  <c r="S11" i="52" s="1"/>
  <c r="M17" i="52"/>
  <c r="S17" i="52" s="1"/>
  <c r="M32" i="52"/>
  <c r="S32" i="52" s="1"/>
  <c r="M32" i="51"/>
  <c r="S32" i="51" s="1"/>
  <c r="M9" i="51"/>
  <c r="S9" i="51" s="1"/>
  <c r="M28" i="51"/>
  <c r="S28" i="51" s="1"/>
  <c r="M14" i="51"/>
  <c r="S14" i="51" s="1"/>
  <c r="M29" i="51"/>
  <c r="S29" i="51" s="1"/>
  <c r="M17" i="51"/>
  <c r="S17" i="51" s="1"/>
  <c r="M16" i="51"/>
  <c r="S16" i="51" s="1"/>
  <c r="M7" i="51"/>
  <c r="S7" i="51" s="1"/>
  <c r="M15" i="51"/>
  <c r="S15" i="51" s="1"/>
  <c r="M11" i="51"/>
  <c r="S11" i="51" s="1"/>
  <c r="M30" i="51"/>
  <c r="S30" i="51" s="1"/>
  <c r="M18" i="51"/>
  <c r="S18" i="51" s="1"/>
  <c r="M10" i="51"/>
  <c r="S10" i="51" s="1"/>
  <c r="M8" i="51"/>
  <c r="S8" i="51" s="1"/>
  <c r="M31" i="51"/>
  <c r="S31" i="51" s="1"/>
  <c r="M14" i="49"/>
  <c r="S14" i="49" s="1"/>
  <c r="M18" i="49"/>
  <c r="S18" i="49" s="1"/>
  <c r="M17" i="49"/>
  <c r="S17" i="49" s="1"/>
  <c r="M15" i="49"/>
  <c r="S15" i="49" s="1"/>
  <c r="M16" i="49"/>
  <c r="S16" i="49" s="1"/>
  <c r="M56" i="4" l="1"/>
  <c r="B56" i="4"/>
  <c r="A56" i="4" s="1"/>
  <c r="D56" i="4"/>
  <c r="C56" i="4" s="1"/>
  <c r="AF18" i="44"/>
  <c r="AE18" i="44" s="1"/>
  <c r="AH18" i="44"/>
  <c r="AG18" i="44" s="1"/>
  <c r="AJ18" i="44"/>
  <c r="AI18" i="44" s="1"/>
  <c r="AL18" i="44"/>
  <c r="AK18" i="44" s="1"/>
  <c r="AN18" i="44"/>
  <c r="AM18" i="44" s="1"/>
  <c r="AP18" i="44"/>
  <c r="AO18" i="44" s="1"/>
  <c r="AE19" i="44"/>
  <c r="AF19" i="44"/>
  <c r="AG19" i="44"/>
  <c r="AH19" i="44"/>
  <c r="AI19" i="44"/>
  <c r="AJ19" i="44"/>
  <c r="AK19" i="44"/>
  <c r="AL19" i="44"/>
  <c r="AM19" i="44"/>
  <c r="AN19" i="44"/>
  <c r="AO19" i="44"/>
  <c r="AP19" i="44"/>
  <c r="AF20" i="44"/>
  <c r="AE20" i="44" s="1"/>
  <c r="AH20" i="44"/>
  <c r="AG20" i="44" s="1"/>
  <c r="AJ20" i="44"/>
  <c r="AI20" i="44" s="1"/>
  <c r="AL20" i="44"/>
  <c r="AK20" i="44" s="1"/>
  <c r="AN20" i="44"/>
  <c r="AM20" i="44" s="1"/>
  <c r="AP20" i="44"/>
  <c r="AO20" i="44" s="1"/>
  <c r="AF21" i="44"/>
  <c r="AH21" i="44"/>
  <c r="AI21" i="44"/>
  <c r="AJ21" i="44"/>
  <c r="AK21" i="44"/>
  <c r="AL21" i="44"/>
  <c r="AM21" i="44"/>
  <c r="AN21" i="44"/>
  <c r="AO21" i="44"/>
  <c r="AP21" i="44"/>
  <c r="AF22" i="44"/>
  <c r="AH22" i="44"/>
  <c r="AG22" i="44" s="1"/>
  <c r="AJ22" i="44"/>
  <c r="AL22" i="44"/>
  <c r="AN22" i="44"/>
  <c r="AM22" i="44" s="1"/>
  <c r="AP22" i="44"/>
  <c r="AO22" i="44" s="1"/>
  <c r="AF23" i="44"/>
  <c r="AH23" i="44"/>
  <c r="AI23" i="44"/>
  <c r="AJ23" i="44"/>
  <c r="AK23" i="44"/>
  <c r="AL23" i="44"/>
  <c r="AM23" i="44"/>
  <c r="AN23" i="44"/>
  <c r="AO23" i="44"/>
  <c r="AP23" i="44"/>
  <c r="AF24" i="44"/>
  <c r="AH24" i="44"/>
  <c r="AJ24" i="44"/>
  <c r="AI24" i="44" s="1"/>
  <c r="AL24" i="44"/>
  <c r="AK24" i="44" s="1"/>
  <c r="AN24" i="44"/>
  <c r="AM24" i="44" s="1"/>
  <c r="AP24" i="44"/>
  <c r="AO24" i="44" s="1"/>
  <c r="AE25" i="44"/>
  <c r="AF25" i="44"/>
  <c r="AG25" i="44"/>
  <c r="AH25" i="44"/>
  <c r="AI25" i="44"/>
  <c r="AJ25" i="44"/>
  <c r="AK25" i="44"/>
  <c r="AL25" i="44"/>
  <c r="AM25" i="44"/>
  <c r="AN25" i="44"/>
  <c r="AO25" i="44"/>
  <c r="AP25" i="44"/>
  <c r="AF26" i="44"/>
  <c r="AE26" i="44" s="1"/>
  <c r="AH26" i="44"/>
  <c r="AG26" i="44" s="1"/>
  <c r="AJ26" i="44"/>
  <c r="AI26" i="44" s="1"/>
  <c r="AL26" i="44"/>
  <c r="AK26" i="44" s="1"/>
  <c r="AN26" i="44"/>
  <c r="AM26" i="44" s="1"/>
  <c r="AP26" i="44"/>
  <c r="AO26" i="44" s="1"/>
  <c r="AE27" i="44"/>
  <c r="AF27" i="44"/>
  <c r="AG27" i="44"/>
  <c r="AH27" i="44"/>
  <c r="AI27" i="44"/>
  <c r="AJ27" i="44"/>
  <c r="AK27" i="44"/>
  <c r="AL27" i="44"/>
  <c r="AM27" i="44"/>
  <c r="AN27" i="44"/>
  <c r="AO27" i="44"/>
  <c r="AP27" i="44"/>
  <c r="AF28" i="44"/>
  <c r="AH28" i="44"/>
  <c r="AJ28" i="44"/>
  <c r="AI28" i="44" s="1"/>
  <c r="AL28" i="44"/>
  <c r="AK28" i="44" s="1"/>
  <c r="AN28" i="44"/>
  <c r="AM28" i="44" s="1"/>
  <c r="AP28" i="44"/>
  <c r="AO28" i="44" s="1"/>
  <c r="AF29" i="44"/>
  <c r="AH29" i="44"/>
  <c r="AI29" i="44"/>
  <c r="AJ29" i="44"/>
  <c r="AK29" i="44"/>
  <c r="AL29" i="44"/>
  <c r="AM29" i="44"/>
  <c r="AN29" i="44"/>
  <c r="AO29" i="44"/>
  <c r="AP29" i="44"/>
  <c r="AF30" i="44"/>
  <c r="AH30" i="44"/>
  <c r="AJ30" i="44"/>
  <c r="AI30" i="44" s="1"/>
  <c r="AL30" i="44"/>
  <c r="AK30" i="44" s="1"/>
  <c r="AN30" i="44"/>
  <c r="AM30" i="44" s="1"/>
  <c r="AP30" i="44"/>
  <c r="AO30" i="44" s="1"/>
  <c r="AE31" i="44"/>
  <c r="AF31" i="44"/>
  <c r="AG31" i="44"/>
  <c r="AH31" i="44"/>
  <c r="AI31" i="44"/>
  <c r="AJ31" i="44"/>
  <c r="AK31" i="44"/>
  <c r="AL31" i="44"/>
  <c r="AM31" i="44"/>
  <c r="AN31" i="44"/>
  <c r="AO31" i="44"/>
  <c r="AP31" i="44"/>
  <c r="AF32" i="44"/>
  <c r="AE32" i="44" s="1"/>
  <c r="AH32" i="44"/>
  <c r="AG32" i="44" s="1"/>
  <c r="AJ32" i="44"/>
  <c r="AI32" i="44" s="1"/>
  <c r="AL32" i="44"/>
  <c r="AK32" i="44" s="1"/>
  <c r="AN32" i="44"/>
  <c r="AM32" i="44" s="1"/>
  <c r="AP32" i="44"/>
  <c r="AO32" i="44" s="1"/>
  <c r="AE33" i="44"/>
  <c r="AF33" i="44"/>
  <c r="AG33" i="44"/>
  <c r="AH33" i="44"/>
  <c r="AI33" i="44"/>
  <c r="AJ33" i="44"/>
  <c r="AK33" i="44"/>
  <c r="AL33" i="44"/>
  <c r="AM33" i="44"/>
  <c r="AN33" i="44"/>
  <c r="AO33" i="44"/>
  <c r="AP33" i="44"/>
  <c r="AP17" i="44"/>
  <c r="AO17" i="44" s="1"/>
  <c r="AN17" i="44"/>
  <c r="AM17" i="44" s="1"/>
  <c r="AL17" i="44"/>
  <c r="AK17" i="44" s="1"/>
  <c r="AJ17" i="44"/>
  <c r="AI17" i="44" s="1"/>
  <c r="AH17" i="44"/>
  <c r="AF17" i="44"/>
  <c r="AP16" i="44"/>
  <c r="AO16" i="44" s="1"/>
  <c r="AN16" i="44"/>
  <c r="AM16" i="44" s="1"/>
  <c r="AL16" i="44"/>
  <c r="AK16" i="44" s="1"/>
  <c r="AJ16" i="44"/>
  <c r="AI16" i="44" s="1"/>
  <c r="AH16" i="44"/>
  <c r="AF16" i="44"/>
  <c r="AP15" i="44"/>
  <c r="AO15" i="44" s="1"/>
  <c r="AN15" i="44"/>
  <c r="AM15" i="44" s="1"/>
  <c r="AL15" i="44"/>
  <c r="AK15" i="44" s="1"/>
  <c r="AJ15" i="44"/>
  <c r="AI15" i="44" s="1"/>
  <c r="AH15" i="44"/>
  <c r="AF15" i="44"/>
  <c r="AP14" i="44"/>
  <c r="AO14" i="44" s="1"/>
  <c r="AN14" i="44"/>
  <c r="AM14" i="44" s="1"/>
  <c r="AL14" i="44"/>
  <c r="AK14" i="44" s="1"/>
  <c r="AJ14" i="44"/>
  <c r="AI14" i="44" s="1"/>
  <c r="AH14" i="44"/>
  <c r="AF14" i="44"/>
  <c r="AP13" i="44"/>
  <c r="AO13" i="44" s="1"/>
  <c r="AN13" i="44"/>
  <c r="AM13" i="44" s="1"/>
  <c r="AL13" i="44"/>
  <c r="AK13" i="44" s="1"/>
  <c r="AJ13" i="44"/>
  <c r="AI13" i="44" s="1"/>
  <c r="AH13" i="44"/>
  <c r="AG13" i="44" s="1"/>
  <c r="AF13" i="44"/>
  <c r="AE13" i="44" s="1"/>
  <c r="AP12" i="44"/>
  <c r="AO12" i="44" s="1"/>
  <c r="AN12" i="44"/>
  <c r="AM12" i="44" s="1"/>
  <c r="AL12" i="44"/>
  <c r="AK12" i="44" s="1"/>
  <c r="AJ12" i="44"/>
  <c r="AI12" i="44" s="1"/>
  <c r="AH12" i="44"/>
  <c r="AG12" i="44" s="1"/>
  <c r="AF12" i="44"/>
  <c r="AE12" i="44" s="1"/>
  <c r="AP11" i="44"/>
  <c r="AO11" i="44" s="1"/>
  <c r="AN11" i="44"/>
  <c r="AM11" i="44" s="1"/>
  <c r="AL11" i="44"/>
  <c r="AK11" i="44" s="1"/>
  <c r="AJ11" i="44"/>
  <c r="AI11" i="44" s="1"/>
  <c r="AH11" i="44"/>
  <c r="AG11" i="44" s="1"/>
  <c r="AF11" i="44"/>
  <c r="AE11" i="44" s="1"/>
  <c r="AP10" i="44"/>
  <c r="AO10" i="44" s="1"/>
  <c r="AN10" i="44"/>
  <c r="AM10" i="44" s="1"/>
  <c r="AL10" i="44"/>
  <c r="AK10" i="44" s="1"/>
  <c r="AJ10" i="44"/>
  <c r="AI10" i="44" s="1"/>
  <c r="AH10" i="44"/>
  <c r="AF10" i="44"/>
  <c r="AP9" i="44"/>
  <c r="AO9" i="44" s="1"/>
  <c r="AN9" i="44"/>
  <c r="AM9" i="44" s="1"/>
  <c r="AL9" i="44"/>
  <c r="AK9" i="44" s="1"/>
  <c r="AJ9" i="44"/>
  <c r="AI9" i="44" s="1"/>
  <c r="AH9" i="44"/>
  <c r="AF9" i="44"/>
  <c r="AP8" i="44"/>
  <c r="AO8" i="44" s="1"/>
  <c r="AN8" i="44"/>
  <c r="AM8" i="44" s="1"/>
  <c r="AL8" i="44"/>
  <c r="AK8" i="44" s="1"/>
  <c r="AJ8" i="44"/>
  <c r="AI8" i="44" s="1"/>
  <c r="AH8" i="44"/>
  <c r="AF8" i="44"/>
  <c r="AP7" i="44"/>
  <c r="AO7" i="44" s="1"/>
  <c r="AN7" i="44"/>
  <c r="AM7" i="44" s="1"/>
  <c r="AL7" i="44"/>
  <c r="AK7" i="44" s="1"/>
  <c r="AJ7" i="44"/>
  <c r="AI7" i="44" s="1"/>
  <c r="AH7" i="44"/>
  <c r="AF7" i="44"/>
  <c r="AP6" i="44"/>
  <c r="AO6" i="44" s="1"/>
  <c r="AN6" i="44"/>
  <c r="AM6" i="44" s="1"/>
  <c r="AL6" i="44"/>
  <c r="AK6" i="44" s="1"/>
  <c r="AJ6" i="44"/>
  <c r="AI6" i="44" s="1"/>
  <c r="AH6" i="44"/>
  <c r="AG6" i="44" s="1"/>
  <c r="AF6" i="44"/>
  <c r="AE6" i="44" s="1"/>
  <c r="AF18" i="43"/>
  <c r="AE18" i="43" s="1"/>
  <c r="AH18" i="43"/>
  <c r="AG18" i="43" s="1"/>
  <c r="AJ18" i="43"/>
  <c r="AI18" i="43" s="1"/>
  <c r="AL18" i="43"/>
  <c r="AK18" i="43" s="1"/>
  <c r="AN18" i="43"/>
  <c r="AM18" i="43" s="1"/>
  <c r="AP18" i="43"/>
  <c r="AO18" i="43" s="1"/>
  <c r="AE19" i="43"/>
  <c r="AF19" i="43"/>
  <c r="AG19" i="43"/>
  <c r="AH19" i="43"/>
  <c r="AI19" i="43"/>
  <c r="AJ19" i="43"/>
  <c r="AK19" i="43"/>
  <c r="AL19" i="43"/>
  <c r="AM19" i="43"/>
  <c r="AN19" i="43"/>
  <c r="AO19" i="43"/>
  <c r="AP19" i="43"/>
  <c r="AF20" i="43"/>
  <c r="AE20" i="43" s="1"/>
  <c r="AH20" i="43"/>
  <c r="AG20" i="43" s="1"/>
  <c r="AJ20" i="43"/>
  <c r="AI20" i="43" s="1"/>
  <c r="AL20" i="43"/>
  <c r="AK20" i="43" s="1"/>
  <c r="AN20" i="43"/>
  <c r="AM20" i="43" s="1"/>
  <c r="AP20" i="43"/>
  <c r="AO20" i="43" s="1"/>
  <c r="AF21" i="43"/>
  <c r="AH21" i="43"/>
  <c r="AG21" i="43" s="1"/>
  <c r="AJ21" i="43"/>
  <c r="AL21" i="43"/>
  <c r="AN21" i="43"/>
  <c r="AM21" i="43" s="1"/>
  <c r="AP21" i="43"/>
  <c r="AO21" i="43" s="1"/>
  <c r="AF22" i="43"/>
  <c r="AH22" i="43"/>
  <c r="AG22" i="43" s="1"/>
  <c r="AJ22" i="43"/>
  <c r="AL22" i="43"/>
  <c r="AN22" i="43"/>
  <c r="AM22" i="43" s="1"/>
  <c r="AP22" i="43"/>
  <c r="AO22" i="43" s="1"/>
  <c r="AF23" i="43"/>
  <c r="AH23" i="43"/>
  <c r="AG23" i="43" s="1"/>
  <c r="AJ23" i="43"/>
  <c r="AL23" i="43"/>
  <c r="AN23" i="43"/>
  <c r="AM23" i="43" s="1"/>
  <c r="AP23" i="43"/>
  <c r="AO23" i="43" s="1"/>
  <c r="AF24" i="43"/>
  <c r="AE24" i="43" s="1"/>
  <c r="AH24" i="43"/>
  <c r="AG24" i="43" s="1"/>
  <c r="AJ24" i="43"/>
  <c r="AI24" i="43" s="1"/>
  <c r="AL24" i="43"/>
  <c r="AK24" i="43" s="1"/>
  <c r="AN24" i="43"/>
  <c r="AM24" i="43" s="1"/>
  <c r="AP24" i="43"/>
  <c r="AO24" i="43" s="1"/>
  <c r="AF25" i="43"/>
  <c r="AE25" i="43" s="1"/>
  <c r="AH25" i="43"/>
  <c r="AG25" i="43" s="1"/>
  <c r="AJ25" i="43"/>
  <c r="AI25" i="43" s="1"/>
  <c r="AL25" i="43"/>
  <c r="AK25" i="43" s="1"/>
  <c r="AN25" i="43"/>
  <c r="AM25" i="43" s="1"/>
  <c r="AP25" i="43"/>
  <c r="AO25" i="43" s="1"/>
  <c r="AF26" i="43"/>
  <c r="AE26" i="43" s="1"/>
  <c r="AH26" i="43"/>
  <c r="AG26" i="43" s="1"/>
  <c r="AJ26" i="43"/>
  <c r="AI26" i="43" s="1"/>
  <c r="AL26" i="43"/>
  <c r="AK26" i="43" s="1"/>
  <c r="AN26" i="43"/>
  <c r="AM26" i="43" s="1"/>
  <c r="AP26" i="43"/>
  <c r="AO26" i="43" s="1"/>
  <c r="AF27" i="43"/>
  <c r="AE27" i="43" s="1"/>
  <c r="AH27" i="43"/>
  <c r="AG27" i="43" s="1"/>
  <c r="AJ27" i="43"/>
  <c r="AI27" i="43" s="1"/>
  <c r="AL27" i="43"/>
  <c r="AK27" i="43" s="1"/>
  <c r="AN27" i="43"/>
  <c r="AM27" i="43" s="1"/>
  <c r="AP27" i="43"/>
  <c r="AO27" i="43" s="1"/>
  <c r="AF28" i="43"/>
  <c r="AH28" i="43"/>
  <c r="AG28" i="43" s="1"/>
  <c r="AJ28" i="43"/>
  <c r="AL28" i="43"/>
  <c r="AN28" i="43"/>
  <c r="AM28" i="43" s="1"/>
  <c r="AP28" i="43"/>
  <c r="AO28" i="43" s="1"/>
  <c r="AF29" i="43"/>
  <c r="AH29" i="43"/>
  <c r="AG29" i="43" s="1"/>
  <c r="AJ29" i="43"/>
  <c r="AL29" i="43"/>
  <c r="AN29" i="43"/>
  <c r="AM29" i="43" s="1"/>
  <c r="AP29" i="43"/>
  <c r="AO29" i="43" s="1"/>
  <c r="AF30" i="43"/>
  <c r="AH30" i="43"/>
  <c r="AG30" i="43" s="1"/>
  <c r="AJ30" i="43"/>
  <c r="AL30" i="43"/>
  <c r="AN30" i="43"/>
  <c r="AM30" i="43" s="1"/>
  <c r="AP30" i="43"/>
  <c r="AO30" i="43" s="1"/>
  <c r="AF31" i="43"/>
  <c r="AE31" i="43" s="1"/>
  <c r="AH31" i="43"/>
  <c r="AG31" i="43" s="1"/>
  <c r="AJ31" i="43"/>
  <c r="AI31" i="43" s="1"/>
  <c r="AL31" i="43"/>
  <c r="AK31" i="43" s="1"/>
  <c r="AN31" i="43"/>
  <c r="AM31" i="43" s="1"/>
  <c r="AP31" i="43"/>
  <c r="AO31" i="43" s="1"/>
  <c r="AF32" i="43"/>
  <c r="AE32" i="43" s="1"/>
  <c r="AH32" i="43"/>
  <c r="AG32" i="43" s="1"/>
  <c r="AJ32" i="43"/>
  <c r="AI32" i="43" s="1"/>
  <c r="AL32" i="43"/>
  <c r="AK32" i="43" s="1"/>
  <c r="AN32" i="43"/>
  <c r="AM32" i="43" s="1"/>
  <c r="AP32" i="43"/>
  <c r="AO32" i="43" s="1"/>
  <c r="AP17" i="43"/>
  <c r="AO17" i="43" s="1"/>
  <c r="AN17" i="43"/>
  <c r="AM17" i="43" s="1"/>
  <c r="AL17" i="43"/>
  <c r="AK17" i="43" s="1"/>
  <c r="AJ17" i="43"/>
  <c r="AI17" i="43" s="1"/>
  <c r="AH17" i="43"/>
  <c r="AG17" i="43" s="1"/>
  <c r="AF17" i="43"/>
  <c r="AE17" i="43" s="1"/>
  <c r="AP16" i="43"/>
  <c r="AO16" i="43" s="1"/>
  <c r="AN16" i="43"/>
  <c r="AM16" i="43" s="1"/>
  <c r="AL16" i="43"/>
  <c r="AJ16" i="43"/>
  <c r="AH16" i="43"/>
  <c r="AG16" i="43" s="1"/>
  <c r="AF16" i="43"/>
  <c r="AP15" i="43"/>
  <c r="AO15" i="43" s="1"/>
  <c r="AN15" i="43"/>
  <c r="AM15" i="43" s="1"/>
  <c r="AL15" i="43"/>
  <c r="AJ15" i="43"/>
  <c r="AH15" i="43"/>
  <c r="AG15" i="43" s="1"/>
  <c r="AF15" i="43"/>
  <c r="AP14" i="43"/>
  <c r="AO14" i="43" s="1"/>
  <c r="AN14" i="43"/>
  <c r="AM14" i="43" s="1"/>
  <c r="AL14" i="43"/>
  <c r="AJ14" i="43"/>
  <c r="AH14" i="43"/>
  <c r="AG14" i="43" s="1"/>
  <c r="AF14" i="43"/>
  <c r="AP13" i="43"/>
  <c r="AO13" i="43" s="1"/>
  <c r="AN13" i="43"/>
  <c r="AM13" i="43" s="1"/>
  <c r="AL13" i="43"/>
  <c r="AK13" i="43" s="1"/>
  <c r="AJ13" i="43"/>
  <c r="AI13" i="43" s="1"/>
  <c r="AH13" i="43"/>
  <c r="AG13" i="43" s="1"/>
  <c r="AF13" i="43"/>
  <c r="AE13" i="43" s="1"/>
  <c r="AP12" i="43"/>
  <c r="AO12" i="43" s="1"/>
  <c r="AN12" i="43"/>
  <c r="AM12" i="43" s="1"/>
  <c r="AL12" i="43"/>
  <c r="AK12" i="43" s="1"/>
  <c r="AJ12" i="43"/>
  <c r="AI12" i="43" s="1"/>
  <c r="AH12" i="43"/>
  <c r="AG12" i="43" s="1"/>
  <c r="AF12" i="43"/>
  <c r="AE12" i="43" s="1"/>
  <c r="AP11" i="43"/>
  <c r="AO11" i="43" s="1"/>
  <c r="AN11" i="43"/>
  <c r="AM11" i="43" s="1"/>
  <c r="AL11" i="43"/>
  <c r="AK11" i="43" s="1"/>
  <c r="AJ11" i="43"/>
  <c r="AI11" i="43" s="1"/>
  <c r="AH11" i="43"/>
  <c r="AG11" i="43" s="1"/>
  <c r="AF11" i="43"/>
  <c r="AE11" i="43" s="1"/>
  <c r="AP10" i="43"/>
  <c r="AO10" i="43" s="1"/>
  <c r="AN10" i="43"/>
  <c r="AM10" i="43" s="1"/>
  <c r="AL10" i="43"/>
  <c r="AK10" i="43" s="1"/>
  <c r="AJ10" i="43"/>
  <c r="AI10" i="43" s="1"/>
  <c r="AH10" i="43"/>
  <c r="AG10" i="43" s="1"/>
  <c r="AF10" i="43"/>
  <c r="AE10" i="43" s="1"/>
  <c r="AP9" i="43"/>
  <c r="AN9" i="43"/>
  <c r="AL9" i="43"/>
  <c r="AK9" i="43" s="1"/>
  <c r="AJ9" i="43"/>
  <c r="AH9" i="43"/>
  <c r="AG9" i="43" s="1"/>
  <c r="AF9" i="43"/>
  <c r="AP8" i="43"/>
  <c r="AO8" i="43" s="1"/>
  <c r="AN8" i="43"/>
  <c r="AM8" i="43" s="1"/>
  <c r="AL8" i="43"/>
  <c r="AJ8" i="43"/>
  <c r="AH8" i="43"/>
  <c r="AG8" i="43" s="1"/>
  <c r="AF8" i="43"/>
  <c r="AP7" i="43"/>
  <c r="AO7" i="43" s="1"/>
  <c r="AN7" i="43"/>
  <c r="AM7" i="43" s="1"/>
  <c r="AL7" i="43"/>
  <c r="AJ7" i="43"/>
  <c r="AH7" i="43"/>
  <c r="AG7" i="43" s="1"/>
  <c r="AF7" i="43"/>
  <c r="AP6" i="43"/>
  <c r="AO6" i="43" s="1"/>
  <c r="AN6" i="43"/>
  <c r="AM6" i="43" s="1"/>
  <c r="AL6" i="43"/>
  <c r="AK6" i="43" s="1"/>
  <c r="AJ6" i="43"/>
  <c r="AI6" i="43" s="1"/>
  <c r="AH6" i="43"/>
  <c r="AG6" i="43" s="1"/>
  <c r="AF6" i="43"/>
  <c r="AE6" i="43" s="1"/>
  <c r="AF19" i="39"/>
  <c r="AE19" i="39" s="1"/>
  <c r="AH19" i="39"/>
  <c r="AG19" i="39" s="1"/>
  <c r="AJ19" i="39"/>
  <c r="AI19" i="39" s="1"/>
  <c r="AL19" i="39"/>
  <c r="AK19" i="39" s="1"/>
  <c r="AN19" i="39"/>
  <c r="AM19" i="39" s="1"/>
  <c r="AP19" i="39"/>
  <c r="AO19" i="39" s="1"/>
  <c r="AE20" i="39"/>
  <c r="AF20" i="39"/>
  <c r="AG20" i="39"/>
  <c r="AH20" i="39"/>
  <c r="AI20" i="39"/>
  <c r="AJ20" i="39"/>
  <c r="AK20" i="39"/>
  <c r="AL20" i="39"/>
  <c r="AM20" i="39"/>
  <c r="AN20" i="39"/>
  <c r="AO20" i="39"/>
  <c r="AP20" i="39"/>
  <c r="AF21" i="39"/>
  <c r="AH21" i="39"/>
  <c r="AJ21" i="39"/>
  <c r="AI21" i="39" s="1"/>
  <c r="AL21" i="39"/>
  <c r="AK21" i="39" s="1"/>
  <c r="AN21" i="39"/>
  <c r="AM21" i="39" s="1"/>
  <c r="AP21" i="39"/>
  <c r="AO21" i="39" s="1"/>
  <c r="AF22" i="39"/>
  <c r="AH22" i="39"/>
  <c r="AI22" i="39"/>
  <c r="AJ22" i="39"/>
  <c r="AK22" i="39"/>
  <c r="AL22" i="39"/>
  <c r="AM22" i="39"/>
  <c r="AN22" i="39"/>
  <c r="AO22" i="39"/>
  <c r="AP22" i="39"/>
  <c r="AF23" i="39"/>
  <c r="AH23" i="39"/>
  <c r="AJ23" i="39"/>
  <c r="AI23" i="39" s="1"/>
  <c r="AL23" i="39"/>
  <c r="AK23" i="39" s="1"/>
  <c r="AN23" i="39"/>
  <c r="AM23" i="39" s="1"/>
  <c r="AP23" i="39"/>
  <c r="AO23" i="39" s="1"/>
  <c r="AE24" i="39"/>
  <c r="AF24" i="39"/>
  <c r="AG24" i="39"/>
  <c r="AH24" i="39"/>
  <c r="AI24" i="39"/>
  <c r="AJ24" i="39"/>
  <c r="AK24" i="39"/>
  <c r="AL24" i="39"/>
  <c r="AM24" i="39"/>
  <c r="AN24" i="39"/>
  <c r="AO24" i="39"/>
  <c r="AP24" i="39"/>
  <c r="AF25" i="39"/>
  <c r="AE25" i="39" s="1"/>
  <c r="AH25" i="39"/>
  <c r="AG25" i="39" s="1"/>
  <c r="AJ25" i="39"/>
  <c r="AI25" i="39" s="1"/>
  <c r="AL25" i="39"/>
  <c r="AK25" i="39" s="1"/>
  <c r="AN25" i="39"/>
  <c r="AM25" i="39" s="1"/>
  <c r="AP25" i="39"/>
  <c r="AO25" i="39" s="1"/>
  <c r="AE26" i="39"/>
  <c r="AF26" i="39"/>
  <c r="AG26" i="39"/>
  <c r="AH26" i="39"/>
  <c r="AI26" i="39"/>
  <c r="AJ26" i="39"/>
  <c r="AK26" i="39"/>
  <c r="AL26" i="39"/>
  <c r="AM26" i="39"/>
  <c r="AN26" i="39"/>
  <c r="AO26" i="39"/>
  <c r="AP26" i="39"/>
  <c r="AF27" i="39"/>
  <c r="AE27" i="39" s="1"/>
  <c r="AH27" i="39"/>
  <c r="AG27" i="39" s="1"/>
  <c r="AJ27" i="39"/>
  <c r="AI27" i="39" s="1"/>
  <c r="AL27" i="39"/>
  <c r="AK27" i="39" s="1"/>
  <c r="AN27" i="39"/>
  <c r="AM27" i="39" s="1"/>
  <c r="AP27" i="39"/>
  <c r="AO27" i="39" s="1"/>
  <c r="AF28" i="39"/>
  <c r="AH28" i="39"/>
  <c r="AI28" i="39"/>
  <c r="AJ28" i="39"/>
  <c r="AK28" i="39"/>
  <c r="AL28" i="39"/>
  <c r="AM28" i="39"/>
  <c r="AN28" i="39"/>
  <c r="AO28" i="39"/>
  <c r="AP28" i="39"/>
  <c r="AF29" i="39"/>
  <c r="AH29" i="39"/>
  <c r="AJ29" i="39"/>
  <c r="AI29" i="39" s="1"/>
  <c r="AL29" i="39"/>
  <c r="AK29" i="39" s="1"/>
  <c r="AN29" i="39"/>
  <c r="AM29" i="39" s="1"/>
  <c r="AP29" i="39"/>
  <c r="AO29" i="39" s="1"/>
  <c r="AF30" i="39"/>
  <c r="AH30" i="39"/>
  <c r="AG30" i="39" s="1"/>
  <c r="AJ30" i="39"/>
  <c r="AL30" i="39"/>
  <c r="AN30" i="39"/>
  <c r="AM30" i="39" s="1"/>
  <c r="AP30" i="39"/>
  <c r="AO30" i="39" s="1"/>
  <c r="AF31" i="39"/>
  <c r="AE31" i="39" s="1"/>
  <c r="AH31" i="39"/>
  <c r="AG31" i="39" s="1"/>
  <c r="AJ31" i="39"/>
  <c r="AI31" i="39" s="1"/>
  <c r="AL31" i="39"/>
  <c r="AK31" i="39" s="1"/>
  <c r="AN31" i="39"/>
  <c r="AM31" i="39" s="1"/>
  <c r="AP31" i="39"/>
  <c r="AO31" i="39" s="1"/>
  <c r="AF32" i="39"/>
  <c r="AE32" i="39" s="1"/>
  <c r="AH32" i="39"/>
  <c r="AG32" i="39" s="1"/>
  <c r="AJ32" i="39"/>
  <c r="AI32" i="39" s="1"/>
  <c r="AL32" i="39"/>
  <c r="AK32" i="39" s="1"/>
  <c r="AN32" i="39"/>
  <c r="AM32" i="39" s="1"/>
  <c r="AP32" i="39"/>
  <c r="AO32" i="39" s="1"/>
  <c r="AF33" i="39"/>
  <c r="AE33" i="39" s="1"/>
  <c r="AH33" i="39"/>
  <c r="AG33" i="39" s="1"/>
  <c r="AJ33" i="39"/>
  <c r="AI33" i="39" s="1"/>
  <c r="AL33" i="39"/>
  <c r="AK33" i="39" s="1"/>
  <c r="AN33" i="39"/>
  <c r="AM33" i="39" s="1"/>
  <c r="AP33" i="39"/>
  <c r="AO33" i="39" s="1"/>
  <c r="AP18" i="39"/>
  <c r="AO18" i="39" s="1"/>
  <c r="AN18" i="39"/>
  <c r="AM18" i="39" s="1"/>
  <c r="AL18" i="39"/>
  <c r="AK18" i="39" s="1"/>
  <c r="AJ18" i="39"/>
  <c r="AI18" i="39" s="1"/>
  <c r="AH18" i="39"/>
  <c r="AG18" i="39" s="1"/>
  <c r="AF18" i="39"/>
  <c r="AE18" i="39" s="1"/>
  <c r="AP17" i="39"/>
  <c r="AO17" i="39"/>
  <c r="AN17" i="39"/>
  <c r="AM17" i="39"/>
  <c r="AL17" i="39"/>
  <c r="AK17" i="39"/>
  <c r="AJ17" i="39"/>
  <c r="AI17" i="39"/>
  <c r="AH17" i="39"/>
  <c r="AF17" i="39"/>
  <c r="AP16" i="39"/>
  <c r="AO16" i="39" s="1"/>
  <c r="AN16" i="39"/>
  <c r="AM16" i="39" s="1"/>
  <c r="AL16" i="39"/>
  <c r="AK16" i="39" s="1"/>
  <c r="AJ16" i="39"/>
  <c r="AI16" i="39" s="1"/>
  <c r="AH16" i="39"/>
  <c r="AF16" i="39"/>
  <c r="AP15" i="39"/>
  <c r="AO15" i="39"/>
  <c r="AN15" i="39"/>
  <c r="AM15" i="39"/>
  <c r="AL15" i="39"/>
  <c r="AK15" i="39"/>
  <c r="AJ15" i="39"/>
  <c r="AI15" i="39"/>
  <c r="AH15" i="39"/>
  <c r="AF15" i="39"/>
  <c r="AP14" i="39"/>
  <c r="AO14" i="39" s="1"/>
  <c r="AN14" i="39"/>
  <c r="AM14" i="39" s="1"/>
  <c r="AL14" i="39"/>
  <c r="AK14" i="39" s="1"/>
  <c r="AJ14" i="39"/>
  <c r="AI14" i="39" s="1"/>
  <c r="AH14" i="39"/>
  <c r="AF14" i="39"/>
  <c r="AP13" i="39"/>
  <c r="AO13" i="39"/>
  <c r="AN13" i="39"/>
  <c r="AM13" i="39"/>
  <c r="AL13" i="39"/>
  <c r="AK13" i="39"/>
  <c r="AJ13" i="39"/>
  <c r="AI13" i="39"/>
  <c r="AH13" i="39"/>
  <c r="AG13" i="39"/>
  <c r="AF13" i="39"/>
  <c r="AE13" i="39"/>
  <c r="AP12" i="39"/>
  <c r="AO12" i="39" s="1"/>
  <c r="AN12" i="39"/>
  <c r="AM12" i="39" s="1"/>
  <c r="AL12" i="39"/>
  <c r="AK12" i="39" s="1"/>
  <c r="AJ12" i="39"/>
  <c r="AI12" i="39" s="1"/>
  <c r="AH12" i="39"/>
  <c r="AG12" i="39" s="1"/>
  <c r="AF12" i="39"/>
  <c r="AE12" i="39" s="1"/>
  <c r="AP11" i="39"/>
  <c r="AO11" i="39"/>
  <c r="AN11" i="39"/>
  <c r="AM11" i="39"/>
  <c r="AL11" i="39"/>
  <c r="AK11" i="39"/>
  <c r="AJ11" i="39"/>
  <c r="AI11" i="39"/>
  <c r="AH11" i="39"/>
  <c r="AG11" i="39"/>
  <c r="AF11" i="39"/>
  <c r="AE11" i="39"/>
  <c r="AD11" i="39" s="1"/>
  <c r="AP10" i="39"/>
  <c r="AO10" i="39" s="1"/>
  <c r="AN10" i="39"/>
  <c r="AM10" i="39" s="1"/>
  <c r="AL10" i="39"/>
  <c r="AK10" i="39" s="1"/>
  <c r="AJ10" i="39"/>
  <c r="AI10" i="39" s="1"/>
  <c r="AH10" i="39"/>
  <c r="AF10" i="39"/>
  <c r="AP9" i="39"/>
  <c r="AO9" i="39"/>
  <c r="AN9" i="39"/>
  <c r="AM9" i="39"/>
  <c r="AL9" i="39"/>
  <c r="AK9" i="39"/>
  <c r="AJ9" i="39"/>
  <c r="AI9" i="39"/>
  <c r="AH9" i="39"/>
  <c r="AF9" i="39"/>
  <c r="AP8" i="39"/>
  <c r="AO8" i="39" s="1"/>
  <c r="AN8" i="39"/>
  <c r="AM8" i="39" s="1"/>
  <c r="AL8" i="39"/>
  <c r="AK8" i="39" s="1"/>
  <c r="AJ8" i="39"/>
  <c r="AI8" i="39" s="1"/>
  <c r="AH8" i="39"/>
  <c r="AF8" i="39"/>
  <c r="AP7" i="39"/>
  <c r="AO7" i="39"/>
  <c r="AN7" i="39"/>
  <c r="AM7" i="39"/>
  <c r="AL7" i="39"/>
  <c r="AK7" i="39"/>
  <c r="AJ7" i="39"/>
  <c r="AI7" i="39"/>
  <c r="AH7" i="39"/>
  <c r="AF7" i="39"/>
  <c r="AP6" i="39"/>
  <c r="AO6" i="39" s="1"/>
  <c r="AN6" i="39"/>
  <c r="AM6" i="39" s="1"/>
  <c r="AL6" i="39"/>
  <c r="AK6" i="39" s="1"/>
  <c r="AJ6" i="39"/>
  <c r="AI6" i="39" s="1"/>
  <c r="AH6" i="39"/>
  <c r="AG6" i="39" s="1"/>
  <c r="AF6" i="39"/>
  <c r="AE6" i="39" s="1"/>
  <c r="AF18" i="45"/>
  <c r="AH18" i="45"/>
  <c r="AJ18" i="45"/>
  <c r="AI18" i="45" s="1"/>
  <c r="AL18" i="45"/>
  <c r="AK18" i="45" s="1"/>
  <c r="AN18" i="45"/>
  <c r="AM18" i="45" s="1"/>
  <c r="AP18" i="45"/>
  <c r="AO18" i="45" s="1"/>
  <c r="AP17" i="45"/>
  <c r="AO17" i="45" s="1"/>
  <c r="AN17" i="45"/>
  <c r="AM17" i="45" s="1"/>
  <c r="AL17" i="45"/>
  <c r="AK17" i="45" s="1"/>
  <c r="AJ17" i="45"/>
  <c r="AI17" i="45" s="1"/>
  <c r="AH17" i="45"/>
  <c r="AF17" i="45"/>
  <c r="AP16" i="45"/>
  <c r="AO16" i="45"/>
  <c r="AN16" i="45"/>
  <c r="AM16" i="45"/>
  <c r="AL16" i="45"/>
  <c r="AK16" i="45"/>
  <c r="AJ16" i="45"/>
  <c r="AI16" i="45"/>
  <c r="AH16" i="45"/>
  <c r="AF16" i="45"/>
  <c r="AP15" i="45"/>
  <c r="AO15" i="45" s="1"/>
  <c r="AN15" i="45"/>
  <c r="AM15" i="45" s="1"/>
  <c r="AL15" i="45"/>
  <c r="AK15" i="45" s="1"/>
  <c r="AJ15" i="45"/>
  <c r="AI15" i="45" s="1"/>
  <c r="AH15" i="45"/>
  <c r="AF15" i="45"/>
  <c r="AP14" i="45"/>
  <c r="AO14" i="45"/>
  <c r="AN14" i="45"/>
  <c r="AM14" i="45"/>
  <c r="AL14" i="45"/>
  <c r="AK14" i="45"/>
  <c r="AJ14" i="45"/>
  <c r="AI14" i="45"/>
  <c r="AH14" i="45"/>
  <c r="AF14" i="45"/>
  <c r="AP13" i="45"/>
  <c r="AO13" i="45" s="1"/>
  <c r="AN13" i="45"/>
  <c r="AM13" i="45" s="1"/>
  <c r="AL13" i="45"/>
  <c r="AK13" i="45" s="1"/>
  <c r="AJ13" i="45"/>
  <c r="AI13" i="45" s="1"/>
  <c r="AH13" i="45"/>
  <c r="AF13" i="45"/>
  <c r="AP12" i="45"/>
  <c r="AO12" i="45"/>
  <c r="AN12" i="45"/>
  <c r="AM12" i="45"/>
  <c r="AL12" i="45"/>
  <c r="AK12" i="45"/>
  <c r="AJ12" i="45"/>
  <c r="AI12" i="45"/>
  <c r="AH12" i="45"/>
  <c r="AF12" i="45"/>
  <c r="AP11" i="45"/>
  <c r="AO11" i="45" s="1"/>
  <c r="AN11" i="45"/>
  <c r="AM11" i="45" s="1"/>
  <c r="AL11" i="45"/>
  <c r="AK11" i="45" s="1"/>
  <c r="AJ11" i="45"/>
  <c r="AI11" i="45" s="1"/>
  <c r="AH11" i="45"/>
  <c r="AF11" i="45"/>
  <c r="AP10" i="45"/>
  <c r="AO10" i="45"/>
  <c r="AN10" i="45"/>
  <c r="AM10" i="45"/>
  <c r="AL10" i="45"/>
  <c r="AK10" i="45"/>
  <c r="AJ10" i="45"/>
  <c r="AI10" i="45"/>
  <c r="AH10" i="45"/>
  <c r="AF10" i="45"/>
  <c r="AP9" i="45"/>
  <c r="AO9" i="45" s="1"/>
  <c r="AN9" i="45"/>
  <c r="AM9" i="45" s="1"/>
  <c r="AL9" i="45"/>
  <c r="AK9" i="45" s="1"/>
  <c r="AJ9" i="45"/>
  <c r="AI9" i="45" s="1"/>
  <c r="AH9" i="45"/>
  <c r="AF9" i="45"/>
  <c r="AP8" i="45"/>
  <c r="AO8" i="45"/>
  <c r="AN8" i="45"/>
  <c r="AM8" i="45"/>
  <c r="AL8" i="45"/>
  <c r="AK8" i="45"/>
  <c r="AJ8" i="45"/>
  <c r="AI8" i="45"/>
  <c r="AH8" i="45"/>
  <c r="AF8" i="45"/>
  <c r="AP7" i="45"/>
  <c r="AO7" i="45" s="1"/>
  <c r="AN7" i="45"/>
  <c r="AM7" i="45" s="1"/>
  <c r="AL7" i="45"/>
  <c r="AK7" i="45" s="1"/>
  <c r="AJ7" i="45"/>
  <c r="AI7" i="45" s="1"/>
  <c r="AH7" i="45"/>
  <c r="AG7" i="45" s="1"/>
  <c r="AF7" i="45"/>
  <c r="AE7" i="45" s="1"/>
  <c r="AP6" i="45"/>
  <c r="AO6" i="45"/>
  <c r="AN6" i="45"/>
  <c r="AM6" i="45" s="1"/>
  <c r="AL6" i="45"/>
  <c r="AK6" i="45" s="1"/>
  <c r="AJ6" i="45"/>
  <c r="AI6" i="45" s="1"/>
  <c r="AH6" i="45"/>
  <c r="AG6" i="45" s="1"/>
  <c r="AF6" i="45"/>
  <c r="AE6" i="45" s="1"/>
  <c r="A4" i="45"/>
  <c r="A3" i="45"/>
  <c r="A2" i="45"/>
  <c r="A1" i="45"/>
  <c r="AA18" i="45"/>
  <c r="Y18" i="45"/>
  <c r="AB18" i="45" s="1"/>
  <c r="W18" i="45"/>
  <c r="AA17" i="45"/>
  <c r="Y17" i="45"/>
  <c r="AB17" i="45" s="1"/>
  <c r="W17" i="45"/>
  <c r="AA16" i="45"/>
  <c r="Y16" i="45"/>
  <c r="AB16" i="45" s="1"/>
  <c r="W16" i="45"/>
  <c r="AA15" i="45"/>
  <c r="Y15" i="45"/>
  <c r="AB15" i="45" s="1"/>
  <c r="W15" i="45"/>
  <c r="AA14" i="45"/>
  <c r="Y14" i="45"/>
  <c r="AB14" i="45" s="1"/>
  <c r="W14" i="45"/>
  <c r="AA13" i="45"/>
  <c r="Y13" i="45"/>
  <c r="AB13" i="45" s="1"/>
  <c r="W13" i="45"/>
  <c r="AA12" i="45"/>
  <c r="Y12" i="45"/>
  <c r="AB12" i="45" s="1"/>
  <c r="W12" i="45"/>
  <c r="AA11" i="45"/>
  <c r="Y11" i="45"/>
  <c r="AB11" i="45" s="1"/>
  <c r="W11" i="45"/>
  <c r="AA10" i="45"/>
  <c r="Y10" i="45"/>
  <c r="AB10" i="45" s="1"/>
  <c r="W10" i="45"/>
  <c r="AA9" i="45"/>
  <c r="Y9" i="45"/>
  <c r="AB9" i="45" s="1"/>
  <c r="W9" i="45"/>
  <c r="AA8" i="45"/>
  <c r="Y8" i="45"/>
  <c r="AB8" i="45" s="1"/>
  <c r="W8" i="45"/>
  <c r="B310" i="45"/>
  <c r="AB5" i="4"/>
  <c r="A1" i="44"/>
  <c r="A4" i="44"/>
  <c r="A3" i="44"/>
  <c r="A2" i="44"/>
  <c r="Q60" i="44"/>
  <c r="T60" i="44" s="1"/>
  <c r="P60" i="44"/>
  <c r="R59" i="44"/>
  <c r="S59" i="44" s="1"/>
  <c r="Q59" i="44"/>
  <c r="T59" i="44" s="1"/>
  <c r="P59" i="44"/>
  <c r="Q58" i="44"/>
  <c r="T58" i="44" s="1"/>
  <c r="P58" i="44"/>
  <c r="Q57" i="44"/>
  <c r="T57" i="44" s="1"/>
  <c r="P57" i="44"/>
  <c r="Q56" i="44"/>
  <c r="T56" i="44" s="1"/>
  <c r="P56" i="44"/>
  <c r="R55" i="44"/>
  <c r="Q53" i="44"/>
  <c r="T53" i="44" s="1"/>
  <c r="P53" i="44"/>
  <c r="Q52" i="44"/>
  <c r="R52" i="44" s="1"/>
  <c r="S52" i="44" s="1"/>
  <c r="P52" i="44"/>
  <c r="Q51" i="44"/>
  <c r="T51" i="44" s="1"/>
  <c r="P51" i="44"/>
  <c r="Q50" i="44"/>
  <c r="R50" i="44" s="1"/>
  <c r="S50" i="44" s="1"/>
  <c r="P50" i="44"/>
  <c r="Q49" i="44"/>
  <c r="T49" i="44" s="1"/>
  <c r="P49" i="44"/>
  <c r="R48" i="44"/>
  <c r="Q46" i="44"/>
  <c r="T46" i="44" s="1"/>
  <c r="P46" i="44"/>
  <c r="Q45" i="44"/>
  <c r="T45" i="44" s="1"/>
  <c r="P45" i="44"/>
  <c r="Q44" i="44"/>
  <c r="T44" i="44" s="1"/>
  <c r="P44" i="44"/>
  <c r="Q43" i="44"/>
  <c r="T43" i="44" s="1"/>
  <c r="P43" i="44"/>
  <c r="Q42" i="44"/>
  <c r="T42" i="44" s="1"/>
  <c r="P42" i="44"/>
  <c r="R41" i="44"/>
  <c r="Q39" i="44"/>
  <c r="T39" i="44" s="1"/>
  <c r="P39" i="44"/>
  <c r="Q38" i="44"/>
  <c r="R38" i="44" s="1"/>
  <c r="S38" i="44" s="1"/>
  <c r="P38" i="44"/>
  <c r="Q37" i="44"/>
  <c r="T37" i="44" s="1"/>
  <c r="P37" i="44"/>
  <c r="Q36" i="44"/>
  <c r="R36" i="44" s="1"/>
  <c r="S36" i="44" s="1"/>
  <c r="P36" i="44"/>
  <c r="Q35" i="44"/>
  <c r="T35" i="44" s="1"/>
  <c r="P35" i="44"/>
  <c r="R34" i="44"/>
  <c r="P32" i="44"/>
  <c r="O32" i="44"/>
  <c r="N32" i="44"/>
  <c r="H32" i="44"/>
  <c r="Q32" i="44" s="1"/>
  <c r="P31" i="44"/>
  <c r="O31" i="44"/>
  <c r="N31" i="44"/>
  <c r="H31" i="44"/>
  <c r="Q31" i="44" s="1"/>
  <c r="P30" i="44"/>
  <c r="O30" i="44"/>
  <c r="N30" i="44"/>
  <c r="H30" i="44"/>
  <c r="Q30" i="44" s="1"/>
  <c r="P29" i="44"/>
  <c r="O29" i="44"/>
  <c r="N29" i="44"/>
  <c r="H29" i="44"/>
  <c r="Q29" i="44" s="1"/>
  <c r="P28" i="44"/>
  <c r="O28" i="44"/>
  <c r="N28" i="44"/>
  <c r="H28" i="44"/>
  <c r="Q28" i="44" s="1"/>
  <c r="R27" i="44"/>
  <c r="I32" i="44" s="1"/>
  <c r="P25" i="44"/>
  <c r="O25" i="44"/>
  <c r="N25" i="44"/>
  <c r="H25" i="44"/>
  <c r="Q25" i="44" s="1"/>
  <c r="P24" i="44"/>
  <c r="O24" i="44"/>
  <c r="N24" i="44"/>
  <c r="H24" i="44"/>
  <c r="Q24" i="44" s="1"/>
  <c r="P23" i="44"/>
  <c r="O23" i="44"/>
  <c r="N23" i="44"/>
  <c r="H23" i="44"/>
  <c r="Q23" i="44" s="1"/>
  <c r="P22" i="44"/>
  <c r="O22" i="44"/>
  <c r="N22" i="44"/>
  <c r="H22" i="44"/>
  <c r="Q22" i="44" s="1"/>
  <c r="P21" i="44"/>
  <c r="O21" i="44"/>
  <c r="N21" i="44"/>
  <c r="H21" i="44"/>
  <c r="Q21" i="44" s="1"/>
  <c r="R20" i="44"/>
  <c r="I25" i="44" s="1"/>
  <c r="P18" i="44"/>
  <c r="O18" i="44"/>
  <c r="N18" i="44"/>
  <c r="H18" i="44"/>
  <c r="Q18" i="44" s="1"/>
  <c r="P17" i="44"/>
  <c r="O17" i="44"/>
  <c r="N17" i="44"/>
  <c r="H17" i="44"/>
  <c r="Q17" i="44" s="1"/>
  <c r="P16" i="44"/>
  <c r="O16" i="44"/>
  <c r="N16" i="44"/>
  <c r="H16" i="44"/>
  <c r="Q16" i="44" s="1"/>
  <c r="P15" i="44"/>
  <c r="O15" i="44"/>
  <c r="N15" i="44"/>
  <c r="H15" i="44"/>
  <c r="Q15" i="44" s="1"/>
  <c r="P14" i="44"/>
  <c r="O14" i="44"/>
  <c r="N14" i="44"/>
  <c r="H14" i="44"/>
  <c r="Q14" i="44" s="1"/>
  <c r="R13" i="44"/>
  <c r="P11" i="44"/>
  <c r="O11" i="44"/>
  <c r="N11" i="44"/>
  <c r="H11" i="44"/>
  <c r="Q11" i="44" s="1"/>
  <c r="P10" i="44"/>
  <c r="O10" i="44"/>
  <c r="N10" i="44"/>
  <c r="H10" i="44"/>
  <c r="Q10" i="44" s="1"/>
  <c r="P9" i="44"/>
  <c r="O9" i="44"/>
  <c r="N9" i="44"/>
  <c r="H9" i="44"/>
  <c r="Q9" i="44" s="1"/>
  <c r="P8" i="44"/>
  <c r="O8" i="44"/>
  <c r="N8" i="44"/>
  <c r="H8" i="44"/>
  <c r="Q8" i="44" s="1"/>
  <c r="P7" i="44"/>
  <c r="O7" i="44"/>
  <c r="N7" i="44"/>
  <c r="H7" i="44"/>
  <c r="Q7" i="44" s="1"/>
  <c r="R6" i="44"/>
  <c r="I10" i="44" s="1"/>
  <c r="M43" i="4"/>
  <c r="B43" i="4"/>
  <c r="A43" i="4" s="1"/>
  <c r="D43" i="4"/>
  <c r="C43" i="4" s="1"/>
  <c r="B46" i="4"/>
  <c r="A46" i="4" s="1"/>
  <c r="M46" i="4"/>
  <c r="B49" i="4"/>
  <c r="A49" i="4" s="1"/>
  <c r="D49" i="4"/>
  <c r="C49" i="4" s="1"/>
  <c r="M49" i="4"/>
  <c r="B52" i="4"/>
  <c r="A52" i="4" s="1"/>
  <c r="D52" i="4"/>
  <c r="C52" i="4" s="1"/>
  <c r="M52" i="4"/>
  <c r="D51" i="4"/>
  <c r="C51" i="4" s="1"/>
  <c r="M51" i="4"/>
  <c r="A4" i="43"/>
  <c r="A3" i="43"/>
  <c r="A2" i="43"/>
  <c r="A1" i="43"/>
  <c r="Q60" i="43"/>
  <c r="T60" i="43" s="1"/>
  <c r="P60" i="43"/>
  <c r="Q59" i="43"/>
  <c r="T59" i="43" s="1"/>
  <c r="P59" i="43"/>
  <c r="Q58" i="43"/>
  <c r="T58" i="43" s="1"/>
  <c r="P58" i="43"/>
  <c r="Q57" i="43"/>
  <c r="T57" i="43" s="1"/>
  <c r="P57" i="43"/>
  <c r="Q56" i="43"/>
  <c r="T56" i="43" s="1"/>
  <c r="P56" i="43"/>
  <c r="R55" i="43"/>
  <c r="Q53" i="43"/>
  <c r="T53" i="43" s="1"/>
  <c r="P53" i="43"/>
  <c r="Q52" i="43"/>
  <c r="T52" i="43" s="1"/>
  <c r="P52" i="43"/>
  <c r="Q51" i="43"/>
  <c r="T51" i="43" s="1"/>
  <c r="P51" i="43"/>
  <c r="Q50" i="43"/>
  <c r="T50" i="43" s="1"/>
  <c r="P50" i="43"/>
  <c r="Q49" i="43"/>
  <c r="T49" i="43" s="1"/>
  <c r="P49" i="43"/>
  <c r="R48" i="43"/>
  <c r="Q46" i="43"/>
  <c r="T46" i="43" s="1"/>
  <c r="P46" i="43"/>
  <c r="Q45" i="43"/>
  <c r="T45" i="43" s="1"/>
  <c r="P45" i="43"/>
  <c r="Q44" i="43"/>
  <c r="T44" i="43" s="1"/>
  <c r="P44" i="43"/>
  <c r="Q43" i="43"/>
  <c r="T43" i="43" s="1"/>
  <c r="P43" i="43"/>
  <c r="Q42" i="43"/>
  <c r="T42" i="43" s="1"/>
  <c r="P42" i="43"/>
  <c r="R41" i="43"/>
  <c r="Q39" i="43"/>
  <c r="T39" i="43" s="1"/>
  <c r="P39" i="43"/>
  <c r="Q38" i="43"/>
  <c r="T38" i="43" s="1"/>
  <c r="P38" i="43"/>
  <c r="Q37" i="43"/>
  <c r="T37" i="43" s="1"/>
  <c r="P37" i="43"/>
  <c r="Q36" i="43"/>
  <c r="T36" i="43" s="1"/>
  <c r="P36" i="43"/>
  <c r="Q35" i="43"/>
  <c r="T35" i="43" s="1"/>
  <c r="P35" i="43"/>
  <c r="R34" i="43"/>
  <c r="P32" i="43"/>
  <c r="O32" i="43"/>
  <c r="N32" i="43"/>
  <c r="H32" i="43"/>
  <c r="Q32" i="43" s="1"/>
  <c r="P31" i="43"/>
  <c r="O31" i="43"/>
  <c r="N31" i="43"/>
  <c r="H31" i="43"/>
  <c r="Q31" i="43" s="1"/>
  <c r="P30" i="43"/>
  <c r="O30" i="43"/>
  <c r="N30" i="43"/>
  <c r="H30" i="43"/>
  <c r="Q30" i="43" s="1"/>
  <c r="P29" i="43"/>
  <c r="O29" i="43"/>
  <c r="N29" i="43"/>
  <c r="H29" i="43"/>
  <c r="Q29" i="43" s="1"/>
  <c r="P28" i="43"/>
  <c r="O28" i="43"/>
  <c r="N28" i="43"/>
  <c r="H28" i="43"/>
  <c r="Q28" i="43" s="1"/>
  <c r="R27" i="43"/>
  <c r="I32" i="43" s="1"/>
  <c r="P25" i="43"/>
  <c r="O25" i="43"/>
  <c r="N25" i="43"/>
  <c r="H25" i="43"/>
  <c r="Q25" i="43" s="1"/>
  <c r="P24" i="43"/>
  <c r="O24" i="43"/>
  <c r="N24" i="43"/>
  <c r="H24" i="43"/>
  <c r="Q24" i="43" s="1"/>
  <c r="P23" i="43"/>
  <c r="O23" i="43"/>
  <c r="N23" i="43"/>
  <c r="H23" i="43"/>
  <c r="Q23" i="43" s="1"/>
  <c r="P22" i="43"/>
  <c r="O22" i="43"/>
  <c r="N22" i="43"/>
  <c r="H22" i="43"/>
  <c r="Q22" i="43" s="1"/>
  <c r="P21" i="43"/>
  <c r="O21" i="43"/>
  <c r="N21" i="43"/>
  <c r="H21" i="43"/>
  <c r="Q21" i="43" s="1"/>
  <c r="R20" i="43"/>
  <c r="I25" i="43" s="1"/>
  <c r="P18" i="43"/>
  <c r="O18" i="43"/>
  <c r="N18" i="43"/>
  <c r="H18" i="43"/>
  <c r="Q18" i="43" s="1"/>
  <c r="P17" i="43"/>
  <c r="O17" i="43"/>
  <c r="N17" i="43"/>
  <c r="H17" i="43"/>
  <c r="Q17" i="43" s="1"/>
  <c r="P16" i="43"/>
  <c r="O16" i="43"/>
  <c r="N16" i="43"/>
  <c r="H16" i="43"/>
  <c r="Q16" i="43" s="1"/>
  <c r="P15" i="43"/>
  <c r="O15" i="43"/>
  <c r="N15" i="43"/>
  <c r="H15" i="43"/>
  <c r="Q15" i="43" s="1"/>
  <c r="P14" i="43"/>
  <c r="O14" i="43"/>
  <c r="N14" i="43"/>
  <c r="H14" i="43"/>
  <c r="Q14" i="43" s="1"/>
  <c r="R13" i="43"/>
  <c r="P11" i="43"/>
  <c r="O11" i="43"/>
  <c r="N11" i="43"/>
  <c r="H11" i="43"/>
  <c r="Q11" i="43" s="1"/>
  <c r="P10" i="43"/>
  <c r="O10" i="43"/>
  <c r="N10" i="43"/>
  <c r="H10" i="43"/>
  <c r="Q10" i="43" s="1"/>
  <c r="P9" i="43"/>
  <c r="O9" i="43"/>
  <c r="N9" i="43"/>
  <c r="H9" i="43"/>
  <c r="Q9" i="43" s="1"/>
  <c r="P8" i="43"/>
  <c r="O8" i="43"/>
  <c r="N8" i="43"/>
  <c r="H8" i="43"/>
  <c r="Q8" i="43" s="1"/>
  <c r="P7" i="43"/>
  <c r="O7" i="43"/>
  <c r="N7" i="43"/>
  <c r="H7" i="43"/>
  <c r="Q7" i="43" s="1"/>
  <c r="R6" i="43"/>
  <c r="I11" i="43" s="1"/>
  <c r="AD6" i="45" l="1"/>
  <c r="R36" i="43"/>
  <c r="S36" i="43" s="1"/>
  <c r="R50" i="43"/>
  <c r="S50" i="43" s="1"/>
  <c r="R43" i="44"/>
  <c r="S43" i="44" s="1"/>
  <c r="R45" i="44"/>
  <c r="S45" i="44" s="1"/>
  <c r="R57" i="44"/>
  <c r="S57" i="44" s="1"/>
  <c r="AD12" i="44"/>
  <c r="T36" i="44"/>
  <c r="T38" i="44"/>
  <c r="T52" i="44"/>
  <c r="T50" i="44"/>
  <c r="AD10" i="43"/>
  <c r="AD12" i="43"/>
  <c r="R38" i="43"/>
  <c r="S38" i="43" s="1"/>
  <c r="R52" i="43"/>
  <c r="S52" i="43" s="1"/>
  <c r="AD6" i="44"/>
  <c r="AD13" i="39"/>
  <c r="AD6" i="43"/>
  <c r="AD7" i="45"/>
  <c r="AD18" i="39"/>
  <c r="AD26" i="39"/>
  <c r="AD24" i="39"/>
  <c r="AD20" i="39"/>
  <c r="AD11" i="43"/>
  <c r="AD13" i="43"/>
  <c r="AD17" i="43"/>
  <c r="AD32" i="43"/>
  <c r="AD26" i="43"/>
  <c r="AD32" i="39"/>
  <c r="AD19" i="43"/>
  <c r="AD33" i="44"/>
  <c r="AD31" i="44"/>
  <c r="AD27" i="44"/>
  <c r="AD25" i="44"/>
  <c r="AD19" i="44"/>
  <c r="AD32" i="44"/>
  <c r="AD26" i="44"/>
  <c r="AD20" i="44"/>
  <c r="AD18" i="44"/>
  <c r="AD11" i="44"/>
  <c r="AD13" i="44"/>
  <c r="AD31" i="43"/>
  <c r="AD27" i="43"/>
  <c r="AD25" i="43"/>
  <c r="AD24" i="43"/>
  <c r="AD20" i="43"/>
  <c r="AD18" i="43"/>
  <c r="AD33" i="39"/>
  <c r="AD31" i="39"/>
  <c r="AD27" i="39"/>
  <c r="AD25" i="39"/>
  <c r="AD19" i="39"/>
  <c r="AD6" i="39"/>
  <c r="AD12" i="39"/>
  <c r="B301" i="45"/>
  <c r="B303" i="45"/>
  <c r="B305" i="45"/>
  <c r="B307" i="45"/>
  <c r="B309" i="45"/>
  <c r="B300" i="45"/>
  <c r="B302" i="45"/>
  <c r="B304" i="45"/>
  <c r="B306" i="45"/>
  <c r="B308" i="45"/>
  <c r="I21" i="44"/>
  <c r="I22" i="44"/>
  <c r="I23" i="44"/>
  <c r="I24" i="44"/>
  <c r="I8" i="44"/>
  <c r="I9" i="44"/>
  <c r="L7" i="44"/>
  <c r="J7" i="44"/>
  <c r="I18" i="44"/>
  <c r="I17" i="44"/>
  <c r="I16" i="44"/>
  <c r="I15" i="44"/>
  <c r="I14" i="44"/>
  <c r="I7" i="44"/>
  <c r="J14" i="44"/>
  <c r="J15" i="44"/>
  <c r="J16" i="44"/>
  <c r="J17" i="44"/>
  <c r="J18" i="44"/>
  <c r="T18" i="44" s="1"/>
  <c r="L28" i="44"/>
  <c r="J28" i="44"/>
  <c r="L29" i="44"/>
  <c r="J29" i="44"/>
  <c r="L30" i="44"/>
  <c r="J30" i="44"/>
  <c r="L8" i="44"/>
  <c r="J8" i="44"/>
  <c r="T8" i="44" s="1"/>
  <c r="L9" i="44"/>
  <c r="J9" i="44"/>
  <c r="T9" i="44" s="1"/>
  <c r="L10" i="44"/>
  <c r="J10" i="44"/>
  <c r="I11" i="44"/>
  <c r="L11" i="44"/>
  <c r="J11" i="44"/>
  <c r="L14" i="44"/>
  <c r="L15" i="44"/>
  <c r="L16" i="44"/>
  <c r="L17" i="44"/>
  <c r="L18" i="44"/>
  <c r="L31" i="44"/>
  <c r="J31" i="44"/>
  <c r="T31" i="44" s="1"/>
  <c r="J21" i="44"/>
  <c r="T21" i="44" s="1"/>
  <c r="L21" i="44"/>
  <c r="J22" i="44"/>
  <c r="T22" i="44" s="1"/>
  <c r="L22" i="44"/>
  <c r="J23" i="44"/>
  <c r="T23" i="44" s="1"/>
  <c r="L23" i="44"/>
  <c r="J24" i="44"/>
  <c r="T24" i="44" s="1"/>
  <c r="L24" i="44"/>
  <c r="J25" i="44"/>
  <c r="T25" i="44" s="1"/>
  <c r="K25" i="44" s="1"/>
  <c r="L25" i="44"/>
  <c r="I28" i="44"/>
  <c r="I29" i="44"/>
  <c r="I30" i="44"/>
  <c r="I31" i="44"/>
  <c r="L32" i="44"/>
  <c r="J32" i="44"/>
  <c r="T32" i="44" s="1"/>
  <c r="R35" i="44"/>
  <c r="S35" i="44" s="1"/>
  <c r="R37" i="44"/>
  <c r="S37" i="44" s="1"/>
  <c r="R39" i="44"/>
  <c r="S39" i="44" s="1"/>
  <c r="R42" i="44"/>
  <c r="S42" i="44" s="1"/>
  <c r="R44" i="44"/>
  <c r="S44" i="44" s="1"/>
  <c r="R46" i="44"/>
  <c r="S46" i="44" s="1"/>
  <c r="R49" i="44"/>
  <c r="S49" i="44" s="1"/>
  <c r="R51" i="44"/>
  <c r="S51" i="44" s="1"/>
  <c r="R53" i="44"/>
  <c r="S53" i="44" s="1"/>
  <c r="R56" i="44"/>
  <c r="S56" i="44" s="1"/>
  <c r="R58" i="44"/>
  <c r="S58" i="44" s="1"/>
  <c r="R60" i="44"/>
  <c r="S60" i="44" s="1"/>
  <c r="I8" i="43"/>
  <c r="I9" i="43"/>
  <c r="I10" i="43"/>
  <c r="I21" i="43"/>
  <c r="I22" i="43"/>
  <c r="I23" i="43"/>
  <c r="I24" i="43"/>
  <c r="R43" i="43"/>
  <c r="S43" i="43" s="1"/>
  <c r="R45" i="43"/>
  <c r="S45" i="43" s="1"/>
  <c r="R57" i="43"/>
  <c r="S57" i="43" s="1"/>
  <c r="R59" i="43"/>
  <c r="S59" i="43" s="1"/>
  <c r="L7" i="43"/>
  <c r="J7" i="43"/>
  <c r="L8" i="43"/>
  <c r="J8" i="43"/>
  <c r="L9" i="43"/>
  <c r="J9" i="43"/>
  <c r="L14" i="43"/>
  <c r="L15" i="43"/>
  <c r="L16" i="43"/>
  <c r="L17" i="43"/>
  <c r="L18" i="43"/>
  <c r="L28" i="43"/>
  <c r="J28" i="43"/>
  <c r="T28" i="43" s="1"/>
  <c r="L29" i="43"/>
  <c r="J29" i="43"/>
  <c r="T29" i="43" s="1"/>
  <c r="L30" i="43"/>
  <c r="J30" i="43"/>
  <c r="T30" i="43" s="1"/>
  <c r="L10" i="43"/>
  <c r="J10" i="43"/>
  <c r="T10" i="43" s="1"/>
  <c r="L11" i="43"/>
  <c r="J11" i="43"/>
  <c r="T11" i="43" s="1"/>
  <c r="I18" i="43"/>
  <c r="I17" i="43"/>
  <c r="I16" i="43"/>
  <c r="I15" i="43"/>
  <c r="I14" i="43"/>
  <c r="I7" i="43"/>
  <c r="J14" i="43"/>
  <c r="T14" i="43" s="1"/>
  <c r="J15" i="43"/>
  <c r="T15" i="43" s="1"/>
  <c r="J16" i="43"/>
  <c r="T16" i="43" s="1"/>
  <c r="J17" i="43"/>
  <c r="T17" i="43" s="1"/>
  <c r="K17" i="43" s="1"/>
  <c r="J18" i="43"/>
  <c r="T18" i="43" s="1"/>
  <c r="L31" i="43"/>
  <c r="J31" i="43"/>
  <c r="T31" i="43" s="1"/>
  <c r="J21" i="43"/>
  <c r="T21" i="43" s="1"/>
  <c r="L21" i="43"/>
  <c r="J22" i="43"/>
  <c r="T22" i="43" s="1"/>
  <c r="L22" i="43"/>
  <c r="J23" i="43"/>
  <c r="T23" i="43" s="1"/>
  <c r="L23" i="43"/>
  <c r="J24" i="43"/>
  <c r="T24" i="43" s="1"/>
  <c r="L24" i="43"/>
  <c r="J25" i="43"/>
  <c r="T25" i="43" s="1"/>
  <c r="K25" i="43" s="1"/>
  <c r="R25" i="43" s="1"/>
  <c r="L25" i="43"/>
  <c r="I28" i="43"/>
  <c r="I29" i="43"/>
  <c r="I30" i="43"/>
  <c r="I31" i="43"/>
  <c r="L32" i="43"/>
  <c r="J32" i="43"/>
  <c r="T32" i="43" s="1"/>
  <c r="R35" i="43"/>
  <c r="S35" i="43" s="1"/>
  <c r="R37" i="43"/>
  <c r="S37" i="43" s="1"/>
  <c r="R39" i="43"/>
  <c r="S39" i="43" s="1"/>
  <c r="R42" i="43"/>
  <c r="S42" i="43" s="1"/>
  <c r="R44" i="43"/>
  <c r="S44" i="43" s="1"/>
  <c r="R46" i="43"/>
  <c r="S46" i="43" s="1"/>
  <c r="R49" i="43"/>
  <c r="S49" i="43" s="1"/>
  <c r="R51" i="43"/>
  <c r="S51" i="43" s="1"/>
  <c r="R53" i="43"/>
  <c r="S53" i="43" s="1"/>
  <c r="R56" i="43"/>
  <c r="S56" i="43" s="1"/>
  <c r="R58" i="43"/>
  <c r="S58" i="43" s="1"/>
  <c r="R60" i="43"/>
  <c r="S60" i="43" s="1"/>
  <c r="B154" i="44" l="1"/>
  <c r="C153" i="44" s="1"/>
  <c r="E151" i="44" s="1"/>
  <c r="H147" i="44" s="1"/>
  <c r="K23" i="44"/>
  <c r="K21" i="44"/>
  <c r="R21" i="44" s="1"/>
  <c r="K24" i="44"/>
  <c r="R24" i="44" s="1"/>
  <c r="K22" i="44"/>
  <c r="R22" i="44" s="1"/>
  <c r="R25" i="44"/>
  <c r="R23" i="44"/>
  <c r="T11" i="44"/>
  <c r="T10" i="44"/>
  <c r="T30" i="44"/>
  <c r="T29" i="44"/>
  <c r="T28" i="44"/>
  <c r="T17" i="44"/>
  <c r="T16" i="44"/>
  <c r="T15" i="44"/>
  <c r="T14" i="44"/>
  <c r="B102" i="44"/>
  <c r="C103" i="44" s="1"/>
  <c r="E117" i="44" s="1"/>
  <c r="H121" i="44" s="1"/>
  <c r="B106" i="44"/>
  <c r="C125" i="44" s="1"/>
  <c r="E131" i="44" s="1"/>
  <c r="H135" i="44" s="1"/>
  <c r="B110" i="44"/>
  <c r="C111" i="44" s="1"/>
  <c r="E113" i="44" s="1"/>
  <c r="H109" i="44" s="1"/>
  <c r="B114" i="44"/>
  <c r="C115" i="44" s="1"/>
  <c r="E119" i="44" s="1"/>
  <c r="H118" i="44" s="1"/>
  <c r="B142" i="44"/>
  <c r="C161" i="44" s="1"/>
  <c r="E162" i="44" s="1"/>
  <c r="H164" i="44" s="1"/>
  <c r="B146" i="44"/>
  <c r="C163" i="44" s="1"/>
  <c r="E169" i="44" s="1"/>
  <c r="H170" i="44" s="1"/>
  <c r="B150" i="44"/>
  <c r="C165" i="44" s="1"/>
  <c r="E171" i="44" s="1"/>
  <c r="H173" i="44" s="1"/>
  <c r="B116" i="44"/>
  <c r="C129" i="44" s="1"/>
  <c r="E128" i="44" s="1"/>
  <c r="H129" i="44" s="1"/>
  <c r="T7" i="44"/>
  <c r="K7" i="44" s="1"/>
  <c r="R7" i="44" s="1"/>
  <c r="K31" i="44"/>
  <c r="R31" i="44" s="1"/>
  <c r="K9" i="44"/>
  <c r="R9" i="44" s="1"/>
  <c r="K18" i="44"/>
  <c r="B104" i="44"/>
  <c r="C123" i="44" s="1"/>
  <c r="E124" i="44" s="1"/>
  <c r="H126" i="44" s="1"/>
  <c r="B108" i="44"/>
  <c r="C107" i="44" s="1"/>
  <c r="E105" i="44" s="1"/>
  <c r="H114" i="44" s="1"/>
  <c r="B112" i="44"/>
  <c r="C127" i="44" s="1"/>
  <c r="E133" i="44" s="1"/>
  <c r="H132" i="44" s="1"/>
  <c r="B140" i="44"/>
  <c r="C141" i="44" s="1"/>
  <c r="E143" i="44" s="1"/>
  <c r="H152" i="44" s="1"/>
  <c r="B144" i="44"/>
  <c r="C145" i="44" s="1"/>
  <c r="E155" i="44" s="1"/>
  <c r="H156" i="44" s="1"/>
  <c r="B148" i="44"/>
  <c r="C149" i="44" s="1"/>
  <c r="E157" i="44" s="1"/>
  <c r="H159" i="44" s="1"/>
  <c r="B152" i="44"/>
  <c r="C167" i="44" s="1"/>
  <c r="E166" i="44" s="1"/>
  <c r="H167" i="44" s="1"/>
  <c r="R18" i="44"/>
  <c r="K31" i="43"/>
  <c r="B116" i="43"/>
  <c r="C129" i="43" s="1"/>
  <c r="E128" i="43" s="1"/>
  <c r="H129" i="43" s="1"/>
  <c r="B148" i="43"/>
  <c r="C149" i="43" s="1"/>
  <c r="E157" i="43" s="1"/>
  <c r="H159" i="43" s="1"/>
  <c r="K24" i="43"/>
  <c r="K23" i="43"/>
  <c r="R23" i="43" s="1"/>
  <c r="K22" i="43"/>
  <c r="R22" i="43" s="1"/>
  <c r="K21" i="43"/>
  <c r="R21" i="43" s="1"/>
  <c r="K18" i="43"/>
  <c r="K16" i="43"/>
  <c r="K14" i="43"/>
  <c r="K15" i="43"/>
  <c r="K30" i="43"/>
  <c r="K29" i="43"/>
  <c r="K28" i="43"/>
  <c r="K32" i="43"/>
  <c r="R32" i="43" s="1"/>
  <c r="R24" i="43"/>
  <c r="R31" i="43"/>
  <c r="B104" i="43"/>
  <c r="C123" i="43" s="1"/>
  <c r="E124" i="43" s="1"/>
  <c r="H126" i="43" s="1"/>
  <c r="B108" i="43"/>
  <c r="C107" i="43" s="1"/>
  <c r="E105" i="43" s="1"/>
  <c r="H114" i="43" s="1"/>
  <c r="B112" i="43"/>
  <c r="C127" i="43" s="1"/>
  <c r="E133" i="43" s="1"/>
  <c r="H132" i="43" s="1"/>
  <c r="B140" i="43"/>
  <c r="C141" i="43" s="1"/>
  <c r="E143" i="43" s="1"/>
  <c r="H152" i="43" s="1"/>
  <c r="B144" i="43"/>
  <c r="C145" i="43" s="1"/>
  <c r="E155" i="43" s="1"/>
  <c r="H156" i="43" s="1"/>
  <c r="B152" i="43"/>
  <c r="C167" i="43" s="1"/>
  <c r="E166" i="43" s="1"/>
  <c r="H167" i="43" s="1"/>
  <c r="B154" i="43"/>
  <c r="C153" i="43" s="1"/>
  <c r="E151" i="43" s="1"/>
  <c r="H147" i="43" s="1"/>
  <c r="R30" i="43"/>
  <c r="R29" i="43"/>
  <c r="R28" i="43"/>
  <c r="R18" i="43"/>
  <c r="R17" i="43"/>
  <c r="R16" i="43"/>
  <c r="R15" i="43"/>
  <c r="R14" i="43"/>
  <c r="T9" i="43"/>
  <c r="T8" i="43"/>
  <c r="K8" i="43" s="1"/>
  <c r="R8" i="43" s="1"/>
  <c r="T7" i="43"/>
  <c r="B102" i="43"/>
  <c r="C103" i="43" s="1"/>
  <c r="E117" i="43" s="1"/>
  <c r="H121" i="43" s="1"/>
  <c r="B106" i="43"/>
  <c r="C125" i="43" s="1"/>
  <c r="E131" i="43" s="1"/>
  <c r="H135" i="43" s="1"/>
  <c r="B110" i="43"/>
  <c r="C111" i="43" s="1"/>
  <c r="E113" i="43" s="1"/>
  <c r="H109" i="43" s="1"/>
  <c r="B114" i="43"/>
  <c r="C115" i="43" s="1"/>
  <c r="E119" i="43" s="1"/>
  <c r="H118" i="43" s="1"/>
  <c r="B142" i="43"/>
  <c r="C161" i="43" s="1"/>
  <c r="E162" i="43" s="1"/>
  <c r="H164" i="43" s="1"/>
  <c r="B146" i="43"/>
  <c r="C163" i="43" s="1"/>
  <c r="E169" i="43" s="1"/>
  <c r="H170" i="43" s="1"/>
  <c r="B150" i="43"/>
  <c r="C165" i="43" s="1"/>
  <c r="E171" i="43" s="1"/>
  <c r="H173" i="43" s="1"/>
  <c r="K8" i="44" l="1"/>
  <c r="R8" i="44" s="1"/>
  <c r="K14" i="44"/>
  <c r="R14" i="44" s="1"/>
  <c r="K28" i="44"/>
  <c r="R28" i="44" s="1"/>
  <c r="K15" i="44"/>
  <c r="R15" i="44" s="1"/>
  <c r="K17" i="44"/>
  <c r="R17" i="44" s="1"/>
  <c r="K29" i="44"/>
  <c r="R29" i="44" s="1"/>
  <c r="K10" i="44"/>
  <c r="R10" i="44" s="1"/>
  <c r="M21" i="44"/>
  <c r="S21" i="44" s="1"/>
  <c r="M25" i="44"/>
  <c r="S25" i="44" s="1"/>
  <c r="K32" i="44"/>
  <c r="R32" i="44" s="1"/>
  <c r="M24" i="44"/>
  <c r="S24" i="44" s="1"/>
  <c r="K16" i="44"/>
  <c r="R16" i="44" s="1"/>
  <c r="K30" i="44"/>
  <c r="R30" i="44" s="1"/>
  <c r="K11" i="44"/>
  <c r="R11" i="44" s="1"/>
  <c r="M23" i="44"/>
  <c r="S23" i="44" s="1"/>
  <c r="M22" i="44"/>
  <c r="S22" i="44" s="1"/>
  <c r="M32" i="43"/>
  <c r="S32" i="43" s="1"/>
  <c r="K7" i="43"/>
  <c r="R7" i="43" s="1"/>
  <c r="K9" i="43"/>
  <c r="R9" i="43" s="1"/>
  <c r="M15" i="43"/>
  <c r="S15" i="43" s="1"/>
  <c r="M17" i="43"/>
  <c r="S17" i="43" s="1"/>
  <c r="M28" i="43"/>
  <c r="S28" i="43" s="1"/>
  <c r="M30" i="43"/>
  <c r="S30" i="43" s="1"/>
  <c r="K11" i="43"/>
  <c r="R11" i="43" s="1"/>
  <c r="M31" i="43"/>
  <c r="S31" i="43" s="1"/>
  <c r="M22" i="43"/>
  <c r="S22" i="43" s="1"/>
  <c r="M14" i="43"/>
  <c r="S14" i="43" s="1"/>
  <c r="M16" i="43"/>
  <c r="S16" i="43" s="1"/>
  <c r="M18" i="43"/>
  <c r="S18" i="43" s="1"/>
  <c r="M29" i="43"/>
  <c r="S29" i="43" s="1"/>
  <c r="K10" i="43"/>
  <c r="R10" i="43" s="1"/>
  <c r="M24" i="43"/>
  <c r="S24" i="43" s="1"/>
  <c r="M21" i="43"/>
  <c r="S21" i="43" s="1"/>
  <c r="M23" i="43"/>
  <c r="S23" i="43" s="1"/>
  <c r="M25" i="43"/>
  <c r="S25" i="43" s="1"/>
  <c r="M28" i="44" l="1"/>
  <c r="S28" i="44" s="1"/>
  <c r="M14" i="44"/>
  <c r="S14" i="44" s="1"/>
  <c r="M11" i="44"/>
  <c r="S11" i="44" s="1"/>
  <c r="M16" i="44"/>
  <c r="S16" i="44" s="1"/>
  <c r="M10" i="44"/>
  <c r="S10" i="44" s="1"/>
  <c r="M17" i="44"/>
  <c r="S17" i="44" s="1"/>
  <c r="M18" i="44"/>
  <c r="S18" i="44" s="1"/>
  <c r="M30" i="44"/>
  <c r="S30" i="44" s="1"/>
  <c r="M32" i="44"/>
  <c r="S32" i="44" s="1"/>
  <c r="M29" i="44"/>
  <c r="S29" i="44" s="1"/>
  <c r="M15" i="44"/>
  <c r="S15" i="44" s="1"/>
  <c r="M7" i="44"/>
  <c r="S7" i="44" s="1"/>
  <c r="M9" i="44"/>
  <c r="S9" i="44" s="1"/>
  <c r="M31" i="44"/>
  <c r="S31" i="44" s="1"/>
  <c r="M8" i="44"/>
  <c r="S8" i="44" s="1"/>
  <c r="M8" i="43"/>
  <c r="S8" i="43" s="1"/>
  <c r="M10" i="43"/>
  <c r="S10" i="43" s="1"/>
  <c r="M9" i="43"/>
  <c r="S9" i="43" s="1"/>
  <c r="M11" i="43"/>
  <c r="S11" i="43" s="1"/>
  <c r="M7" i="43"/>
  <c r="S7" i="43" s="1"/>
  <c r="M49" i="3" l="1"/>
  <c r="K49" i="3"/>
  <c r="M47" i="3" l="1"/>
  <c r="K47" i="3"/>
  <c r="K50" i="3" l="1"/>
  <c r="K44" i="3" l="1"/>
  <c r="I54" i="3"/>
  <c r="K31" i="3"/>
  <c r="K22" i="3"/>
  <c r="K16" i="3"/>
  <c r="K19" i="3"/>
  <c r="E28" i="3"/>
  <c r="E79" i="3"/>
  <c r="E73" i="3"/>
  <c r="E66" i="3"/>
  <c r="E60" i="3"/>
  <c r="E57" i="3"/>
  <c r="E54" i="3"/>
  <c r="E44" i="3"/>
  <c r="E38" i="3"/>
  <c r="L119" i="3" l="1"/>
  <c r="M44" i="3" l="1"/>
  <c r="J126" i="3"/>
  <c r="L116" i="3"/>
  <c r="M70" i="3" l="1"/>
  <c r="K95" i="3" l="1"/>
  <c r="M76" i="3" l="1"/>
  <c r="K76" i="3"/>
  <c r="M67" i="3" l="1"/>
  <c r="M69" i="3"/>
  <c r="M63" i="3" l="1"/>
  <c r="K60" i="3" l="1"/>
  <c r="R6" i="10" l="1"/>
  <c r="Q6" i="10"/>
  <c r="P6" i="10"/>
  <c r="AP31" i="40"/>
  <c r="AO31" i="40" s="1"/>
  <c r="AN31" i="40"/>
  <c r="AM31" i="40" s="1"/>
  <c r="AL31" i="40"/>
  <c r="AK31" i="40" s="1"/>
  <c r="AJ31" i="40"/>
  <c r="AI31" i="40" s="1"/>
  <c r="AH31" i="40"/>
  <c r="AG31" i="40" s="1"/>
  <c r="AF31" i="40"/>
  <c r="AE31" i="40" s="1"/>
  <c r="AP30" i="40"/>
  <c r="AO30" i="40"/>
  <c r="AN30" i="40"/>
  <c r="AM30" i="40"/>
  <c r="AL30" i="40"/>
  <c r="AK30" i="40"/>
  <c r="AJ30" i="40"/>
  <c r="AI30" i="40"/>
  <c r="AH30" i="40"/>
  <c r="AG30" i="40"/>
  <c r="AF30" i="40"/>
  <c r="AE30" i="40"/>
  <c r="AD30" i="40" s="1"/>
  <c r="AP29" i="40"/>
  <c r="AO29" i="40" s="1"/>
  <c r="AN29" i="40"/>
  <c r="AM29" i="40" s="1"/>
  <c r="AL29" i="40"/>
  <c r="AK29" i="40" s="1"/>
  <c r="AJ29" i="40"/>
  <c r="AI29" i="40" s="1"/>
  <c r="AH29" i="40"/>
  <c r="AG29" i="40" s="1"/>
  <c r="AF29" i="40"/>
  <c r="AE29" i="40" s="1"/>
  <c r="AP28" i="40"/>
  <c r="AO28" i="40"/>
  <c r="AN28" i="40"/>
  <c r="AM28" i="40"/>
  <c r="AL28" i="40"/>
  <c r="AK28" i="40"/>
  <c r="AJ28" i="40"/>
  <c r="AI28" i="40"/>
  <c r="AH28" i="40"/>
  <c r="AG28" i="40"/>
  <c r="AF28" i="40"/>
  <c r="AE28" i="40"/>
  <c r="AD28" i="40" s="1"/>
  <c r="AP27" i="40"/>
  <c r="AO27" i="40" s="1"/>
  <c r="AN27" i="40"/>
  <c r="AM27" i="40" s="1"/>
  <c r="AL27" i="40"/>
  <c r="AK27" i="40" s="1"/>
  <c r="AJ27" i="40"/>
  <c r="AI27" i="40" s="1"/>
  <c r="AH27" i="40"/>
  <c r="AG27" i="40" s="1"/>
  <c r="AF27" i="40"/>
  <c r="AE27" i="40" s="1"/>
  <c r="AP22" i="40"/>
  <c r="AO22" i="40"/>
  <c r="AN22" i="40"/>
  <c r="AM22" i="40"/>
  <c r="AL22" i="40"/>
  <c r="AK22" i="40"/>
  <c r="AJ22" i="40"/>
  <c r="AI22" i="40"/>
  <c r="AH22" i="40"/>
  <c r="AG22" i="40"/>
  <c r="AF22" i="40"/>
  <c r="AE22" i="40"/>
  <c r="AD22" i="40" s="1"/>
  <c r="AP21" i="40"/>
  <c r="AO21" i="40" s="1"/>
  <c r="AN21" i="40"/>
  <c r="AM21" i="40" s="1"/>
  <c r="AL21" i="40"/>
  <c r="AK21" i="40" s="1"/>
  <c r="AJ21" i="40"/>
  <c r="AI21" i="40" s="1"/>
  <c r="AH21" i="40"/>
  <c r="AG21" i="40" s="1"/>
  <c r="AF21" i="40"/>
  <c r="AE21" i="40" s="1"/>
  <c r="AP20" i="40"/>
  <c r="AO20" i="40"/>
  <c r="AN20" i="40"/>
  <c r="AM20" i="40"/>
  <c r="AL20" i="40"/>
  <c r="AK20" i="40"/>
  <c r="AJ20" i="40"/>
  <c r="AI20" i="40"/>
  <c r="AH20" i="40"/>
  <c r="AG20" i="40"/>
  <c r="AF20" i="40"/>
  <c r="AE20" i="40"/>
  <c r="AD20" i="40" s="1"/>
  <c r="AP19" i="40"/>
  <c r="AO19" i="40" s="1"/>
  <c r="AN19" i="40"/>
  <c r="AM19" i="40" s="1"/>
  <c r="AL19" i="40"/>
  <c r="AK19" i="40" s="1"/>
  <c r="AJ19" i="40"/>
  <c r="AI19" i="40" s="1"/>
  <c r="AH19" i="40"/>
  <c r="AG19" i="40" s="1"/>
  <c r="AF19" i="40"/>
  <c r="AE19" i="40" s="1"/>
  <c r="AP18" i="40"/>
  <c r="AO18" i="40"/>
  <c r="AN18" i="40"/>
  <c r="AM18" i="40"/>
  <c r="AL18" i="40"/>
  <c r="AK18" i="40"/>
  <c r="AJ18" i="40"/>
  <c r="AI18" i="40"/>
  <c r="AH18" i="40"/>
  <c r="AG18" i="40"/>
  <c r="AF18" i="40"/>
  <c r="AE18" i="40"/>
  <c r="AD18" i="40" s="1"/>
  <c r="AP17" i="40"/>
  <c r="AO17" i="40" s="1"/>
  <c r="AN17" i="40"/>
  <c r="AM17" i="40" s="1"/>
  <c r="AL17" i="40"/>
  <c r="AJ17" i="40"/>
  <c r="AH17" i="40"/>
  <c r="AG17" i="40" s="1"/>
  <c r="AF17" i="40"/>
  <c r="AP16" i="40"/>
  <c r="AO16" i="40"/>
  <c r="AN16" i="40"/>
  <c r="AM16" i="40"/>
  <c r="AL16" i="40"/>
  <c r="AJ16" i="40"/>
  <c r="AH16" i="40"/>
  <c r="AG16" i="40"/>
  <c r="AF16" i="40"/>
  <c r="AP15" i="40"/>
  <c r="AO15" i="40" s="1"/>
  <c r="AN15" i="40"/>
  <c r="AM15" i="40" s="1"/>
  <c r="AL15" i="40"/>
  <c r="AJ15" i="40"/>
  <c r="AH15" i="40"/>
  <c r="AG15" i="40" s="1"/>
  <c r="AF15" i="40"/>
  <c r="AP14" i="40"/>
  <c r="AO14" i="40" s="1"/>
  <c r="AN14" i="40"/>
  <c r="AM14" i="40" s="1"/>
  <c r="AL14" i="40"/>
  <c r="AJ14" i="40"/>
  <c r="AH14" i="40"/>
  <c r="AG14" i="40" s="1"/>
  <c r="AF14" i="40"/>
  <c r="AP13" i="40"/>
  <c r="AO13" i="40" s="1"/>
  <c r="AN13" i="40"/>
  <c r="AM13" i="40" s="1"/>
  <c r="AL13" i="40"/>
  <c r="AK13" i="40" s="1"/>
  <c r="AJ13" i="40"/>
  <c r="AI13" i="40" s="1"/>
  <c r="AH13" i="40"/>
  <c r="AG13" i="40" s="1"/>
  <c r="AF13" i="40"/>
  <c r="AE13" i="40" s="1"/>
  <c r="AP12" i="40"/>
  <c r="AO12" i="40"/>
  <c r="AN12" i="40"/>
  <c r="AM12" i="40"/>
  <c r="AL12" i="40"/>
  <c r="AK12" i="40"/>
  <c r="AJ12" i="40"/>
  <c r="AI12" i="40"/>
  <c r="AH12" i="40"/>
  <c r="AG12" i="40"/>
  <c r="AF12" i="40"/>
  <c r="AE12" i="40"/>
  <c r="AD12" i="40" s="1"/>
  <c r="AP11" i="40"/>
  <c r="AO11" i="40" s="1"/>
  <c r="AN11" i="40"/>
  <c r="AM11" i="40" s="1"/>
  <c r="AL11" i="40"/>
  <c r="AK11" i="40" s="1"/>
  <c r="AJ11" i="40"/>
  <c r="AI11" i="40" s="1"/>
  <c r="AH11" i="40"/>
  <c r="AG11" i="40" s="1"/>
  <c r="AF11" i="40"/>
  <c r="AE11" i="40" s="1"/>
  <c r="AP10" i="40"/>
  <c r="AO10" i="40"/>
  <c r="AN10" i="40"/>
  <c r="AM10" i="40"/>
  <c r="AL10" i="40"/>
  <c r="AJ10" i="40"/>
  <c r="AH10" i="40"/>
  <c r="AG10" i="40"/>
  <c r="AF10" i="40"/>
  <c r="AP9" i="40"/>
  <c r="AO9" i="40" s="1"/>
  <c r="AN9" i="40"/>
  <c r="AM9" i="40" s="1"/>
  <c r="AL9" i="40"/>
  <c r="AJ9" i="40"/>
  <c r="AH9" i="40"/>
  <c r="AG9" i="40" s="1"/>
  <c r="AF9" i="40"/>
  <c r="AP8" i="40"/>
  <c r="AO8" i="40" s="1"/>
  <c r="AN8" i="40"/>
  <c r="AM8" i="40" s="1"/>
  <c r="AL8" i="40"/>
  <c r="AJ8" i="40"/>
  <c r="AH8" i="40"/>
  <c r="AG8" i="40" s="1"/>
  <c r="AF8" i="40"/>
  <c r="AP7" i="40"/>
  <c r="AO7" i="40" s="1"/>
  <c r="AN7" i="40"/>
  <c r="AM7" i="40" s="1"/>
  <c r="AL7" i="40"/>
  <c r="AJ7" i="40"/>
  <c r="AH7" i="40"/>
  <c r="AG7" i="40" s="1"/>
  <c r="AF7" i="40"/>
  <c r="AP6" i="40"/>
  <c r="AO6" i="40" s="1"/>
  <c r="AN6" i="40"/>
  <c r="AM6" i="40" s="1"/>
  <c r="AL6" i="40"/>
  <c r="AK6" i="40" s="1"/>
  <c r="AJ6" i="40"/>
  <c r="AI6" i="40" s="1"/>
  <c r="AH6" i="40"/>
  <c r="AG6" i="40" s="1"/>
  <c r="AF6" i="40"/>
  <c r="AE6" i="40" s="1"/>
  <c r="A4" i="40"/>
  <c r="A3" i="40"/>
  <c r="A2" i="40"/>
  <c r="A1" i="40"/>
  <c r="P18" i="40"/>
  <c r="O18" i="40"/>
  <c r="N18" i="40"/>
  <c r="H18" i="40"/>
  <c r="Q18" i="40" s="1"/>
  <c r="P17" i="40"/>
  <c r="O17" i="40"/>
  <c r="N17" i="40"/>
  <c r="H17" i="40"/>
  <c r="Q17" i="40" s="1"/>
  <c r="P16" i="40"/>
  <c r="O16" i="40"/>
  <c r="N16" i="40"/>
  <c r="H16" i="40"/>
  <c r="Q16" i="40" s="1"/>
  <c r="P15" i="40"/>
  <c r="O15" i="40"/>
  <c r="N15" i="40"/>
  <c r="H15" i="40"/>
  <c r="Q15" i="40" s="1"/>
  <c r="P14" i="40"/>
  <c r="O14" i="40"/>
  <c r="N14" i="40"/>
  <c r="H14" i="40"/>
  <c r="Q14" i="40" s="1"/>
  <c r="R13" i="40"/>
  <c r="P11" i="40"/>
  <c r="O11" i="40"/>
  <c r="N11" i="40"/>
  <c r="H11" i="40"/>
  <c r="Q11" i="40" s="1"/>
  <c r="P10" i="40"/>
  <c r="O10" i="40"/>
  <c r="N10" i="40"/>
  <c r="H10" i="40"/>
  <c r="Q10" i="40" s="1"/>
  <c r="P9" i="40"/>
  <c r="O9" i="40"/>
  <c r="N9" i="40"/>
  <c r="H9" i="40"/>
  <c r="Q9" i="40" s="1"/>
  <c r="P8" i="40"/>
  <c r="O8" i="40"/>
  <c r="N8" i="40"/>
  <c r="H8" i="40"/>
  <c r="Q8" i="40" s="1"/>
  <c r="P7" i="40"/>
  <c r="O7" i="40"/>
  <c r="N7" i="40"/>
  <c r="H7" i="40"/>
  <c r="Q7" i="40" s="1"/>
  <c r="R6" i="40"/>
  <c r="A4" i="39"/>
  <c r="A3" i="39"/>
  <c r="A2" i="39"/>
  <c r="A1" i="39"/>
  <c r="Q60" i="39"/>
  <c r="T60" i="39" s="1"/>
  <c r="P60" i="39"/>
  <c r="Q59" i="39"/>
  <c r="T59" i="39" s="1"/>
  <c r="P59" i="39"/>
  <c r="Q58" i="39"/>
  <c r="T58" i="39" s="1"/>
  <c r="P58" i="39"/>
  <c r="Q57" i="39"/>
  <c r="T57" i="39" s="1"/>
  <c r="P57" i="39"/>
  <c r="Q56" i="39"/>
  <c r="T56" i="39" s="1"/>
  <c r="P56" i="39"/>
  <c r="R55" i="39"/>
  <c r="Q53" i="39"/>
  <c r="T53" i="39" s="1"/>
  <c r="P53" i="39"/>
  <c r="Q52" i="39"/>
  <c r="T52" i="39" s="1"/>
  <c r="P52" i="39"/>
  <c r="Q51" i="39"/>
  <c r="T51" i="39" s="1"/>
  <c r="P51" i="39"/>
  <c r="Q50" i="39"/>
  <c r="T50" i="39" s="1"/>
  <c r="P50" i="39"/>
  <c r="Q49" i="39"/>
  <c r="T49" i="39" s="1"/>
  <c r="P49" i="39"/>
  <c r="R48" i="39"/>
  <c r="Q46" i="39"/>
  <c r="T46" i="39" s="1"/>
  <c r="P46" i="39"/>
  <c r="Q45" i="39"/>
  <c r="T45" i="39" s="1"/>
  <c r="P45" i="39"/>
  <c r="Q44" i="39"/>
  <c r="P44" i="39"/>
  <c r="Q43" i="39"/>
  <c r="T43" i="39" s="1"/>
  <c r="P43" i="39"/>
  <c r="Q42" i="39"/>
  <c r="P42" i="39"/>
  <c r="R41" i="39"/>
  <c r="Q39" i="39"/>
  <c r="P39" i="39"/>
  <c r="Q38" i="39"/>
  <c r="T38" i="39" s="1"/>
  <c r="P38" i="39"/>
  <c r="Q37" i="39"/>
  <c r="P37" i="39"/>
  <c r="Q36" i="39"/>
  <c r="T36" i="39" s="1"/>
  <c r="P36" i="39"/>
  <c r="Q35" i="39"/>
  <c r="P35" i="39"/>
  <c r="R34" i="39"/>
  <c r="P32" i="39"/>
  <c r="O32" i="39"/>
  <c r="N32" i="39"/>
  <c r="H32" i="39"/>
  <c r="Q32" i="39" s="1"/>
  <c r="P31" i="39"/>
  <c r="O31" i="39"/>
  <c r="N31" i="39"/>
  <c r="H31" i="39"/>
  <c r="Q31" i="39" s="1"/>
  <c r="P30" i="39"/>
  <c r="O30" i="39"/>
  <c r="N30" i="39"/>
  <c r="H30" i="39"/>
  <c r="Q30" i="39" s="1"/>
  <c r="P29" i="39"/>
  <c r="O29" i="39"/>
  <c r="N29" i="39"/>
  <c r="H29" i="39"/>
  <c r="Q29" i="39" s="1"/>
  <c r="P28" i="39"/>
  <c r="O28" i="39"/>
  <c r="N28" i="39"/>
  <c r="H28" i="39"/>
  <c r="Q28" i="39" s="1"/>
  <c r="R27" i="39"/>
  <c r="P25" i="39"/>
  <c r="O25" i="39"/>
  <c r="N25" i="39"/>
  <c r="H25" i="39"/>
  <c r="Q25" i="39" s="1"/>
  <c r="P24" i="39"/>
  <c r="O24" i="39"/>
  <c r="N24" i="39"/>
  <c r="H24" i="39"/>
  <c r="Q24" i="39" s="1"/>
  <c r="P23" i="39"/>
  <c r="O23" i="39"/>
  <c r="N23" i="39"/>
  <c r="H23" i="39"/>
  <c r="Q23" i="39" s="1"/>
  <c r="P22" i="39"/>
  <c r="O22" i="39"/>
  <c r="N22" i="39"/>
  <c r="H22" i="39"/>
  <c r="Q22" i="39" s="1"/>
  <c r="P21" i="39"/>
  <c r="O21" i="39"/>
  <c r="N21" i="39"/>
  <c r="H21" i="39"/>
  <c r="Q21" i="39" s="1"/>
  <c r="R20" i="39"/>
  <c r="P18" i="39"/>
  <c r="O18" i="39"/>
  <c r="N18" i="39"/>
  <c r="H18" i="39"/>
  <c r="Q18" i="39" s="1"/>
  <c r="P17" i="39"/>
  <c r="O17" i="39"/>
  <c r="N17" i="39"/>
  <c r="H17" i="39"/>
  <c r="Q17" i="39" s="1"/>
  <c r="P16" i="39"/>
  <c r="O16" i="39"/>
  <c r="N16" i="39"/>
  <c r="H16" i="39"/>
  <c r="Q16" i="39" s="1"/>
  <c r="P15" i="39"/>
  <c r="O15" i="39"/>
  <c r="N15" i="39"/>
  <c r="H15" i="39"/>
  <c r="Q15" i="39" s="1"/>
  <c r="P14" i="39"/>
  <c r="O14" i="39"/>
  <c r="N14" i="39"/>
  <c r="H14" i="39"/>
  <c r="Q14" i="39" s="1"/>
  <c r="R13" i="39"/>
  <c r="P11" i="39"/>
  <c r="O11" i="39"/>
  <c r="N11" i="39"/>
  <c r="H11" i="39"/>
  <c r="Q11" i="39" s="1"/>
  <c r="P10" i="39"/>
  <c r="O10" i="39"/>
  <c r="N10" i="39"/>
  <c r="H10" i="39"/>
  <c r="Q10" i="39" s="1"/>
  <c r="P9" i="39"/>
  <c r="O9" i="39"/>
  <c r="N9" i="39"/>
  <c r="H9" i="39"/>
  <c r="Q9" i="39" s="1"/>
  <c r="P8" i="39"/>
  <c r="O8" i="39"/>
  <c r="N8" i="39"/>
  <c r="H8" i="39"/>
  <c r="Q8" i="39" s="1"/>
  <c r="P7" i="39"/>
  <c r="O7" i="39"/>
  <c r="N7" i="39"/>
  <c r="H7" i="39"/>
  <c r="Q7" i="39" s="1"/>
  <c r="R6" i="39"/>
  <c r="B31" i="4"/>
  <c r="A31" i="4" s="1"/>
  <c r="D31" i="4"/>
  <c r="C31" i="4" s="1"/>
  <c r="M31" i="4"/>
  <c r="AD11" i="40" l="1"/>
  <c r="AD19" i="40"/>
  <c r="AD6" i="40"/>
  <c r="AD13" i="40"/>
  <c r="R36" i="39"/>
  <c r="S36" i="39" s="1"/>
  <c r="R50" i="39"/>
  <c r="S50" i="39" s="1"/>
  <c r="AD21" i="40"/>
  <c r="AD27" i="40"/>
  <c r="AD29" i="40"/>
  <c r="AD31" i="40"/>
  <c r="R38" i="39"/>
  <c r="S38" i="39" s="1"/>
  <c r="R52" i="39"/>
  <c r="S52" i="39" s="1"/>
  <c r="I11" i="40"/>
  <c r="I18" i="40"/>
  <c r="L8" i="40"/>
  <c r="J8" i="40"/>
  <c r="T8" i="40" s="1"/>
  <c r="L9" i="40"/>
  <c r="J9" i="40"/>
  <c r="L14" i="40"/>
  <c r="J14" i="40"/>
  <c r="L16" i="40"/>
  <c r="J16" i="40"/>
  <c r="L18" i="40"/>
  <c r="J18" i="40"/>
  <c r="T18" i="40" s="1"/>
  <c r="L7" i="40"/>
  <c r="J7" i="40"/>
  <c r="L10" i="40"/>
  <c r="J10" i="40"/>
  <c r="T10" i="40" s="1"/>
  <c r="L15" i="40"/>
  <c r="J15" i="40"/>
  <c r="T15" i="40" s="1"/>
  <c r="L17" i="40"/>
  <c r="J17" i="40"/>
  <c r="J11" i="40"/>
  <c r="L11" i="40"/>
  <c r="R43" i="39"/>
  <c r="S43" i="39" s="1"/>
  <c r="R45" i="39"/>
  <c r="S45" i="39" s="1"/>
  <c r="R57" i="39"/>
  <c r="S57" i="39" s="1"/>
  <c r="R59" i="39"/>
  <c r="S59" i="39" s="1"/>
  <c r="L14" i="39"/>
  <c r="J14" i="39"/>
  <c r="T14" i="39" s="1"/>
  <c r="L16" i="39"/>
  <c r="J16" i="39"/>
  <c r="L18" i="39"/>
  <c r="J18" i="39"/>
  <c r="T18" i="39" s="1"/>
  <c r="L29" i="39"/>
  <c r="J29" i="39"/>
  <c r="L31" i="39"/>
  <c r="J31" i="39"/>
  <c r="T31" i="39" s="1"/>
  <c r="L7" i="39"/>
  <c r="J7" i="39"/>
  <c r="L8" i="39"/>
  <c r="J8" i="39"/>
  <c r="T8" i="39" s="1"/>
  <c r="L15" i="39"/>
  <c r="J15" i="39"/>
  <c r="T15" i="39" s="1"/>
  <c r="L17" i="39"/>
  <c r="J17" i="39"/>
  <c r="L28" i="39"/>
  <c r="J28" i="39"/>
  <c r="L30" i="39"/>
  <c r="J30" i="39"/>
  <c r="T30" i="39" s="1"/>
  <c r="J32" i="39"/>
  <c r="T32" i="39" s="1"/>
  <c r="L32" i="39"/>
  <c r="T37" i="39"/>
  <c r="R37" i="39"/>
  <c r="S37" i="39" s="1"/>
  <c r="T44" i="39"/>
  <c r="R44" i="39"/>
  <c r="S44" i="39" s="1"/>
  <c r="J9" i="39"/>
  <c r="T9" i="39" s="1"/>
  <c r="L9" i="39"/>
  <c r="J10" i="39"/>
  <c r="T10" i="39" s="1"/>
  <c r="L10" i="39"/>
  <c r="J11" i="39"/>
  <c r="T11" i="39" s="1"/>
  <c r="L11" i="39"/>
  <c r="J21" i="39"/>
  <c r="T21" i="39" s="1"/>
  <c r="L21" i="39"/>
  <c r="J22" i="39"/>
  <c r="T22" i="39" s="1"/>
  <c r="L22" i="39"/>
  <c r="J23" i="39"/>
  <c r="T23" i="39" s="1"/>
  <c r="L23" i="39"/>
  <c r="J24" i="39"/>
  <c r="T24" i="39" s="1"/>
  <c r="L24" i="39"/>
  <c r="J25" i="39"/>
  <c r="T25" i="39" s="1"/>
  <c r="K25" i="39" s="1"/>
  <c r="L25" i="39"/>
  <c r="T35" i="39"/>
  <c r="R35" i="39"/>
  <c r="S35" i="39" s="1"/>
  <c r="T39" i="39"/>
  <c r="R39" i="39"/>
  <c r="S39" i="39" s="1"/>
  <c r="T42" i="39"/>
  <c r="R42" i="39"/>
  <c r="S42" i="39" s="1"/>
  <c r="R46" i="39"/>
  <c r="S46" i="39" s="1"/>
  <c r="R49" i="39"/>
  <c r="S49" i="39" s="1"/>
  <c r="R51" i="39"/>
  <c r="S51" i="39" s="1"/>
  <c r="R53" i="39"/>
  <c r="S53" i="39" s="1"/>
  <c r="R56" i="39"/>
  <c r="S56" i="39" s="1"/>
  <c r="R58" i="39"/>
  <c r="S58" i="39" s="1"/>
  <c r="R60" i="39"/>
  <c r="S60" i="39" s="1"/>
  <c r="AA5" i="4"/>
  <c r="Z5" i="4"/>
  <c r="Y5" i="4"/>
  <c r="X5" i="4"/>
  <c r="W5" i="4"/>
  <c r="V5" i="4"/>
  <c r="U5" i="4"/>
  <c r="T5" i="4"/>
  <c r="S5" i="4"/>
  <c r="R5" i="4"/>
  <c r="Q5" i="4"/>
  <c r="AB7" i="4"/>
  <c r="AA7" i="4"/>
  <c r="Z7" i="4"/>
  <c r="Y7" i="4"/>
  <c r="X7" i="4"/>
  <c r="W7" i="4"/>
  <c r="V7" i="4"/>
  <c r="U7" i="4"/>
  <c r="I14" i="2" s="1"/>
  <c r="T7" i="4"/>
  <c r="S7" i="4"/>
  <c r="R7" i="4"/>
  <c r="Q7" i="4"/>
  <c r="P7" i="4"/>
  <c r="E39" i="2"/>
  <c r="E37" i="2"/>
  <c r="E36" i="2"/>
  <c r="E35" i="2"/>
  <c r="E32" i="2"/>
  <c r="E31" i="2"/>
  <c r="E28" i="2"/>
  <c r="E27" i="2"/>
  <c r="E26" i="2"/>
  <c r="E25" i="2"/>
  <c r="E23" i="2"/>
  <c r="E22" i="2"/>
  <c r="E19" i="2"/>
  <c r="E18" i="2"/>
  <c r="E17" i="2"/>
  <c r="E14" i="2"/>
  <c r="E13" i="2"/>
  <c r="E12" i="2"/>
  <c r="E10" i="2"/>
  <c r="E9" i="2"/>
  <c r="E8" i="2"/>
  <c r="E7" i="2"/>
  <c r="E6" i="2"/>
  <c r="E5" i="2"/>
  <c r="M56" i="3"/>
  <c r="AG62" i="4" l="1"/>
  <c r="AG60" i="4"/>
  <c r="AG59" i="4"/>
  <c r="AG57" i="4"/>
  <c r="AG55" i="4"/>
  <c r="AG54" i="4"/>
  <c r="AG51" i="4"/>
  <c r="AG49" i="4"/>
  <c r="AG47" i="4"/>
  <c r="AG44" i="4"/>
  <c r="AG43" i="4"/>
  <c r="AG45" i="4"/>
  <c r="AG39" i="4"/>
  <c r="AG30" i="4"/>
  <c r="AG36" i="4"/>
  <c r="AG33" i="4"/>
  <c r="AG31" i="4"/>
  <c r="AG28" i="4"/>
  <c r="AG25" i="4"/>
  <c r="AG24" i="4"/>
  <c r="AG18" i="4"/>
  <c r="AG19" i="4"/>
  <c r="AG20" i="4"/>
  <c r="AG16" i="4"/>
  <c r="AG15" i="4"/>
  <c r="AG14" i="4"/>
  <c r="AG9" i="4"/>
  <c r="AG61" i="4"/>
  <c r="AG58" i="4"/>
  <c r="AG53" i="4"/>
  <c r="AG46" i="4"/>
  <c r="AG52" i="4"/>
  <c r="AG50" i="4"/>
  <c r="AG48" i="4"/>
  <c r="AG42" i="4"/>
  <c r="AG41" i="4"/>
  <c r="AG40" i="4"/>
  <c r="AG38" i="4"/>
  <c r="AG32" i="4"/>
  <c r="AG37" i="4"/>
  <c r="AG35" i="4"/>
  <c r="AG34" i="4"/>
  <c r="AG29" i="4"/>
  <c r="AG27" i="4"/>
  <c r="AG26" i="4"/>
  <c r="AG21" i="4"/>
  <c r="AG23" i="4"/>
  <c r="AG22" i="4"/>
  <c r="AG17" i="4"/>
  <c r="AG11" i="4"/>
  <c r="AG10" i="4"/>
  <c r="AG13" i="4"/>
  <c r="AG12" i="4"/>
  <c r="AG56" i="4"/>
  <c r="AG8" i="4"/>
  <c r="AF9" i="4"/>
  <c r="AF14" i="4"/>
  <c r="AF15" i="4"/>
  <c r="AF16" i="4"/>
  <c r="AF20" i="4"/>
  <c r="AF19" i="4"/>
  <c r="AF18" i="4"/>
  <c r="AF24" i="4"/>
  <c r="AF25" i="4"/>
  <c r="AF28" i="4"/>
  <c r="AF31" i="4"/>
  <c r="AF33" i="4"/>
  <c r="AF36" i="4"/>
  <c r="AF30" i="4"/>
  <c r="AF39" i="4"/>
  <c r="AF45" i="4"/>
  <c r="AF43" i="4"/>
  <c r="AF44" i="4"/>
  <c r="AF47" i="4"/>
  <c r="AF49" i="4"/>
  <c r="AF51" i="4"/>
  <c r="AF54" i="4"/>
  <c r="AF55" i="4"/>
  <c r="AF57" i="4"/>
  <c r="AF59" i="4"/>
  <c r="AF60" i="4"/>
  <c r="AF62" i="4"/>
  <c r="AF12" i="4"/>
  <c r="AF13" i="4"/>
  <c r="AF10" i="4"/>
  <c r="AF11" i="4"/>
  <c r="AF17" i="4"/>
  <c r="AF22" i="4"/>
  <c r="AF23" i="4"/>
  <c r="AF21" i="4"/>
  <c r="AF26" i="4"/>
  <c r="AF27" i="4"/>
  <c r="AF29" i="4"/>
  <c r="AF34" i="4"/>
  <c r="AF35" i="4"/>
  <c r="AF37" i="4"/>
  <c r="AF32" i="4"/>
  <c r="AF38" i="4"/>
  <c r="AF40" i="4"/>
  <c r="AF41" i="4"/>
  <c r="AF42" i="4"/>
  <c r="AF48" i="4"/>
  <c r="AF50" i="4"/>
  <c r="AF52" i="4"/>
  <c r="AF46" i="4"/>
  <c r="AF53" i="4"/>
  <c r="AF58" i="4"/>
  <c r="AF61" i="4"/>
  <c r="AF56" i="4"/>
  <c r="R25" i="39"/>
  <c r="T17" i="40"/>
  <c r="T7" i="40"/>
  <c r="T16" i="40"/>
  <c r="T14" i="40"/>
  <c r="K14" i="40" s="1"/>
  <c r="R14" i="40" s="1"/>
  <c r="T9" i="40"/>
  <c r="K9" i="40" s="1"/>
  <c r="R9" i="40" s="1"/>
  <c r="K24" i="39"/>
  <c r="K23" i="39"/>
  <c r="R23" i="39" s="1"/>
  <c r="K22" i="39"/>
  <c r="R22" i="39" s="1"/>
  <c r="K21" i="39"/>
  <c r="R21" i="39" s="1"/>
  <c r="R24" i="39"/>
  <c r="T28" i="39"/>
  <c r="T17" i="39"/>
  <c r="T7" i="39"/>
  <c r="K7" i="39" s="1"/>
  <c r="R7" i="39" s="1"/>
  <c r="T29" i="39"/>
  <c r="T16" i="39"/>
  <c r="K16" i="39" s="1"/>
  <c r="R16" i="39" s="1"/>
  <c r="K30" i="39"/>
  <c r="R30" i="39" s="1"/>
  <c r="K15" i="39"/>
  <c r="R15" i="39" s="1"/>
  <c r="K31" i="39"/>
  <c r="R31" i="39" s="1"/>
  <c r="M89" i="3"/>
  <c r="M92" i="3"/>
  <c r="M94" i="3"/>
  <c r="M86" i="3"/>
  <c r="M91" i="3"/>
  <c r="M88" i="3"/>
  <c r="M83" i="3"/>
  <c r="M79" i="3"/>
  <c r="M85" i="3"/>
  <c r="M81" i="3"/>
  <c r="E81" i="3"/>
  <c r="E75" i="3"/>
  <c r="E68" i="3"/>
  <c r="G63" i="3"/>
  <c r="K62" i="3"/>
  <c r="G60" i="3"/>
  <c r="E62" i="3"/>
  <c r="G57" i="3"/>
  <c r="E59" i="3"/>
  <c r="E56" i="3"/>
  <c r="K29" i="39" l="1"/>
  <c r="R29" i="39" s="1"/>
  <c r="K8" i="39"/>
  <c r="R8" i="39" s="1"/>
  <c r="K16" i="40"/>
  <c r="R16" i="40" s="1"/>
  <c r="K11" i="40"/>
  <c r="R11" i="40" s="1"/>
  <c r="K7" i="40"/>
  <c r="R7" i="40" s="1"/>
  <c r="K15" i="40"/>
  <c r="R15" i="40" s="1"/>
  <c r="K17" i="40"/>
  <c r="R17" i="40" s="1"/>
  <c r="K8" i="40"/>
  <c r="R8" i="40" s="1"/>
  <c r="K18" i="40"/>
  <c r="R18" i="40" s="1"/>
  <c r="K10" i="40"/>
  <c r="R10" i="40" s="1"/>
  <c r="K32" i="39"/>
  <c r="R32" i="39" s="1"/>
  <c r="K17" i="39"/>
  <c r="R17" i="39" s="1"/>
  <c r="M24" i="39"/>
  <c r="S24" i="39" s="1"/>
  <c r="K14" i="39"/>
  <c r="R14" i="39" s="1"/>
  <c r="K18" i="39"/>
  <c r="R18" i="39" s="1"/>
  <c r="K10" i="39"/>
  <c r="R10" i="39" s="1"/>
  <c r="M21" i="39"/>
  <c r="S21" i="39" s="1"/>
  <c r="M23" i="39"/>
  <c r="S23" i="39" s="1"/>
  <c r="M25" i="39"/>
  <c r="S25" i="39" s="1"/>
  <c r="K28" i="39"/>
  <c r="R28" i="39" s="1"/>
  <c r="K9" i="39"/>
  <c r="R9" i="39" s="1"/>
  <c r="K11" i="39"/>
  <c r="R11" i="39" s="1"/>
  <c r="M22" i="39"/>
  <c r="S22" i="39" s="1"/>
  <c r="M52" i="3"/>
  <c r="M50" i="3"/>
  <c r="M9" i="40" l="1"/>
  <c r="S9" i="40" s="1"/>
  <c r="M10" i="40"/>
  <c r="S10" i="40" s="1"/>
  <c r="M8" i="40"/>
  <c r="S8" i="40" s="1"/>
  <c r="M15" i="40"/>
  <c r="S15" i="40" s="1"/>
  <c r="M11" i="40"/>
  <c r="S11" i="40" s="1"/>
  <c r="M14" i="40"/>
  <c r="S14" i="40" s="1"/>
  <c r="M18" i="40"/>
  <c r="S18" i="40" s="1"/>
  <c r="M17" i="40"/>
  <c r="S17" i="40" s="1"/>
  <c r="M7" i="40"/>
  <c r="S7" i="40" s="1"/>
  <c r="M16" i="40"/>
  <c r="S16" i="40" s="1"/>
  <c r="I16" i="40" s="1"/>
  <c r="I24" i="39"/>
  <c r="I22" i="39"/>
  <c r="M11" i="39"/>
  <c r="S11" i="39" s="1"/>
  <c r="M28" i="39"/>
  <c r="S28" i="39" s="1"/>
  <c r="M10" i="39"/>
  <c r="S10" i="39" s="1"/>
  <c r="M14" i="39"/>
  <c r="S14" i="39" s="1"/>
  <c r="M29" i="39"/>
  <c r="S29" i="39" s="1"/>
  <c r="M30" i="39"/>
  <c r="S30" i="39" s="1"/>
  <c r="M16" i="39"/>
  <c r="S16" i="39" s="1"/>
  <c r="M31" i="39"/>
  <c r="S31" i="39" s="1"/>
  <c r="M32" i="39"/>
  <c r="S32" i="39" s="1"/>
  <c r="M15" i="39"/>
  <c r="S15" i="39" s="1"/>
  <c r="M9" i="39"/>
  <c r="S9" i="39" s="1"/>
  <c r="I25" i="39"/>
  <c r="I23" i="39"/>
  <c r="I21" i="39"/>
  <c r="M18" i="39"/>
  <c r="S18" i="39" s="1"/>
  <c r="M17" i="39"/>
  <c r="S17" i="39" s="1"/>
  <c r="M8" i="39"/>
  <c r="S8" i="39" s="1"/>
  <c r="M7" i="39"/>
  <c r="S7" i="39" s="1"/>
  <c r="K52" i="3"/>
  <c r="I7" i="40" l="1"/>
  <c r="I9" i="40"/>
  <c r="I8" i="40"/>
  <c r="I15" i="40"/>
  <c r="I10" i="40"/>
  <c r="I14" i="40"/>
  <c r="I17" i="40"/>
  <c r="I14" i="39"/>
  <c r="I28" i="39"/>
  <c r="I9" i="39"/>
  <c r="I10" i="39"/>
  <c r="I11" i="39"/>
  <c r="I17" i="39"/>
  <c r="I7" i="39"/>
  <c r="I32" i="39"/>
  <c r="I16" i="39"/>
  <c r="I29" i="39"/>
  <c r="I8" i="39"/>
  <c r="I18" i="39"/>
  <c r="I15" i="39"/>
  <c r="I31" i="39"/>
  <c r="I30" i="39"/>
  <c r="K36" i="3"/>
  <c r="M30" i="3"/>
  <c r="K27" i="3"/>
  <c r="C48" i="3"/>
  <c r="M38" i="3"/>
  <c r="G38" i="3"/>
  <c r="K34" i="3"/>
  <c r="M28" i="3"/>
  <c r="K25" i="3"/>
  <c r="G22" i="3"/>
  <c r="M121" i="3"/>
  <c r="K121" i="3"/>
  <c r="M123" i="3"/>
  <c r="K123" i="3"/>
  <c r="M111" i="3"/>
  <c r="K111" i="3"/>
  <c r="M113" i="3"/>
  <c r="K113" i="3"/>
  <c r="N110" i="3"/>
  <c r="M110" i="3"/>
  <c r="M108" i="3"/>
  <c r="K108" i="3"/>
  <c r="K110" i="3"/>
  <c r="M102" i="3"/>
  <c r="K102" i="3"/>
  <c r="M104" i="3"/>
  <c r="K104" i="3"/>
  <c r="M107" i="3"/>
  <c r="M105" i="3"/>
  <c r="M99" i="3"/>
  <c r="M97" i="3"/>
  <c r="K97" i="3"/>
  <c r="M95" i="3"/>
  <c r="L87" i="3"/>
  <c r="K86" i="3"/>
  <c r="L78" i="3"/>
  <c r="K63" i="3"/>
  <c r="M60" i="3"/>
  <c r="M57" i="3"/>
  <c r="K57" i="3"/>
  <c r="K54" i="3"/>
  <c r="S49" i="3"/>
  <c r="M41" i="3"/>
  <c r="K41" i="3"/>
  <c r="M128" i="3"/>
  <c r="K128" i="3"/>
  <c r="K130" i="3"/>
  <c r="M130" i="3"/>
  <c r="M46" i="3"/>
  <c r="M31" i="3"/>
  <c r="M33" i="3"/>
  <c r="K33" i="3"/>
  <c r="K46" i="3"/>
  <c r="E46" i="3"/>
  <c r="E40" i="3"/>
  <c r="F39" i="2"/>
  <c r="F37" i="2"/>
  <c r="F36" i="2"/>
  <c r="F42" i="2"/>
  <c r="F41" i="2"/>
  <c r="F40" i="2"/>
  <c r="F44" i="2"/>
  <c r="B125" i="40" l="1"/>
  <c r="C124" i="40" s="1"/>
  <c r="F125" i="40" s="1"/>
  <c r="B123" i="40"/>
  <c r="C129" i="40" s="1"/>
  <c r="F131" i="40" s="1"/>
  <c r="B121" i="40"/>
  <c r="C120" i="40" s="1"/>
  <c r="F122" i="40" s="1"/>
  <c r="B119" i="40"/>
  <c r="C127" i="40" s="1"/>
  <c r="F128" i="40" s="1"/>
  <c r="B108" i="40"/>
  <c r="C112" i="40" s="1"/>
  <c r="F114" i="40" s="1"/>
  <c r="B106" i="40"/>
  <c r="C107" i="40" s="1"/>
  <c r="F108" i="40" s="1"/>
  <c r="B104" i="40"/>
  <c r="C110" i="40" s="1"/>
  <c r="F111" i="40" s="1"/>
  <c r="B102" i="40"/>
  <c r="C103" i="40" s="1"/>
  <c r="F105" i="40" s="1"/>
  <c r="B116" i="39"/>
  <c r="C129" i="39" s="1"/>
  <c r="E128" i="39" s="1"/>
  <c r="H129" i="39" s="1"/>
  <c r="B150" i="39"/>
  <c r="C165" i="39" s="1"/>
  <c r="E171" i="39" s="1"/>
  <c r="H173" i="39" s="1"/>
  <c r="B146" i="39"/>
  <c r="C163" i="39" s="1"/>
  <c r="E169" i="39" s="1"/>
  <c r="H170" i="39" s="1"/>
  <c r="B142" i="39"/>
  <c r="C161" i="39" s="1"/>
  <c r="E162" i="39" s="1"/>
  <c r="H164" i="39" s="1"/>
  <c r="B114" i="39"/>
  <c r="C115" i="39" s="1"/>
  <c r="E119" i="39" s="1"/>
  <c r="H118" i="39" s="1"/>
  <c r="B110" i="39"/>
  <c r="C111" i="39" s="1"/>
  <c r="E113" i="39" s="1"/>
  <c r="H109" i="39" s="1"/>
  <c r="B106" i="39"/>
  <c r="C125" i="39" s="1"/>
  <c r="E131" i="39" s="1"/>
  <c r="H135" i="39" s="1"/>
  <c r="B102" i="39"/>
  <c r="C103" i="39" s="1"/>
  <c r="E117" i="39" s="1"/>
  <c r="H121" i="39" s="1"/>
  <c r="B154" i="39"/>
  <c r="C153" i="39" s="1"/>
  <c r="E151" i="39" s="1"/>
  <c r="H147" i="39" s="1"/>
  <c r="B152" i="39"/>
  <c r="C167" i="39" s="1"/>
  <c r="E166" i="39" s="1"/>
  <c r="H167" i="39" s="1"/>
  <c r="B148" i="39"/>
  <c r="C149" i="39" s="1"/>
  <c r="E157" i="39" s="1"/>
  <c r="H159" i="39" s="1"/>
  <c r="B144" i="39"/>
  <c r="C145" i="39" s="1"/>
  <c r="E155" i="39" s="1"/>
  <c r="H156" i="39" s="1"/>
  <c r="B140" i="39"/>
  <c r="C141" i="39" s="1"/>
  <c r="E143" i="39" s="1"/>
  <c r="H152" i="39" s="1"/>
  <c r="B112" i="39"/>
  <c r="C127" i="39" s="1"/>
  <c r="E133" i="39" s="1"/>
  <c r="H132" i="39" s="1"/>
  <c r="B108" i="39"/>
  <c r="C107" i="39" s="1"/>
  <c r="E105" i="39" s="1"/>
  <c r="H114" i="39" s="1"/>
  <c r="B104" i="39"/>
  <c r="C123" i="39" s="1"/>
  <c r="E124" i="39" s="1"/>
  <c r="H126" i="39" s="1"/>
  <c r="AE17" i="28"/>
  <c r="W18" i="28"/>
  <c r="AE18" i="28"/>
  <c r="W19" i="28"/>
  <c r="AE19" i="28"/>
  <c r="C51" i="3" l="1"/>
  <c r="H133" i="3"/>
  <c r="N78" i="3"/>
  <c r="L77" i="3"/>
  <c r="E30" i="2" l="1"/>
  <c r="C30" i="2"/>
  <c r="E29" i="2"/>
  <c r="C29" i="2"/>
  <c r="F30" i="2"/>
  <c r="F18" i="2"/>
  <c r="C16" i="2"/>
  <c r="C15" i="2"/>
  <c r="F16" i="2"/>
  <c r="F10" i="2"/>
  <c r="F9" i="2"/>
  <c r="M65" i="3" l="1"/>
  <c r="K65" i="3"/>
  <c r="G65" i="3" l="1"/>
  <c r="G62" i="3"/>
  <c r="G59" i="3"/>
  <c r="K72" i="3"/>
  <c r="K70" i="3"/>
  <c r="M72" i="3"/>
  <c r="M62" i="3"/>
  <c r="K56" i="3"/>
  <c r="I56" i="3"/>
  <c r="M22" i="3" l="1"/>
  <c r="K24" i="3"/>
  <c r="M24" i="3"/>
  <c r="M18" i="3"/>
  <c r="K38" i="3" l="1"/>
  <c r="K40" i="3" l="1"/>
  <c r="M43" i="3"/>
  <c r="K43" i="3"/>
  <c r="G40" i="3"/>
  <c r="M40" i="3"/>
  <c r="K18" i="3"/>
  <c r="E30" i="3"/>
  <c r="G24" i="3"/>
  <c r="K11" i="3"/>
  <c r="M5" i="3"/>
  <c r="K13" i="3"/>
  <c r="K7" i="3"/>
  <c r="K5" i="3"/>
  <c r="M7" i="3"/>
  <c r="AM36" i="5" l="1"/>
  <c r="AM13" i="5"/>
  <c r="AM7" i="5"/>
  <c r="AM30" i="5"/>
  <c r="AM22" i="5"/>
  <c r="AM11" i="5"/>
  <c r="AM23" i="5"/>
  <c r="AM14" i="5"/>
  <c r="AM19" i="5"/>
  <c r="AM26" i="5"/>
  <c r="AM25" i="5"/>
  <c r="AM15" i="5"/>
  <c r="AM10" i="5"/>
  <c r="AM33" i="5"/>
  <c r="AM56" i="5"/>
  <c r="AM48" i="5"/>
  <c r="AM24" i="5"/>
  <c r="AM12" i="5"/>
  <c r="AM34" i="5"/>
  <c r="AM16" i="5"/>
  <c r="AM31" i="5"/>
  <c r="AM8" i="5"/>
  <c r="AM9" i="5"/>
  <c r="AM41" i="5"/>
  <c r="AM39" i="5"/>
  <c r="AM40" i="5"/>
  <c r="AM21" i="5"/>
  <c r="AM54" i="5"/>
  <c r="AM35" i="5"/>
  <c r="AM55" i="5"/>
  <c r="AM38" i="5"/>
  <c r="AM53" i="5"/>
  <c r="AM43" i="5"/>
  <c r="AM42" i="5"/>
  <c r="AM27" i="5"/>
  <c r="AM29" i="5"/>
  <c r="AM47" i="5"/>
  <c r="AM37" i="5"/>
  <c r="AM28" i="5"/>
  <c r="AM17" i="5"/>
  <c r="A4" i="28" l="1"/>
  <c r="A2" i="28"/>
  <c r="A4" i="15"/>
  <c r="A2" i="15"/>
  <c r="A4" i="14"/>
  <c r="A2" i="14"/>
  <c r="A4" i="13"/>
  <c r="A2" i="13"/>
  <c r="A4" i="12"/>
  <c r="A2" i="12"/>
  <c r="A4" i="11"/>
  <c r="A2" i="11"/>
  <c r="A4" i="20"/>
  <c r="A2" i="20"/>
  <c r="A4" i="19"/>
  <c r="A2" i="19"/>
  <c r="A4" i="18"/>
  <c r="A2" i="18"/>
  <c r="A4" i="17"/>
  <c r="A2" i="17"/>
  <c r="A4" i="16"/>
  <c r="A2" i="16"/>
  <c r="AF9" i="23"/>
  <c r="AE9" i="23" s="1"/>
  <c r="AH9" i="23"/>
  <c r="AG9" i="23" s="1"/>
  <c r="AJ9" i="23"/>
  <c r="AI9" i="23" s="1"/>
  <c r="AL9" i="23"/>
  <c r="AK9" i="23" s="1"/>
  <c r="AF10" i="23"/>
  <c r="AE10" i="23" s="1"/>
  <c r="AH10" i="23"/>
  <c r="AG10" i="23" s="1"/>
  <c r="AJ10" i="23"/>
  <c r="AI10" i="23" s="1"/>
  <c r="AL10" i="23"/>
  <c r="AK10" i="23" s="1"/>
  <c r="AF11" i="23"/>
  <c r="AE11" i="23" s="1"/>
  <c r="AH11" i="23"/>
  <c r="AG11" i="23" s="1"/>
  <c r="AJ11" i="23"/>
  <c r="AI11" i="23" s="1"/>
  <c r="AL11" i="23"/>
  <c r="AK11" i="23" s="1"/>
  <c r="AF12" i="23"/>
  <c r="AE12" i="23" s="1"/>
  <c r="AH12" i="23"/>
  <c r="AG12" i="23" s="1"/>
  <c r="AJ12" i="23"/>
  <c r="AI12" i="23" s="1"/>
  <c r="AL12" i="23"/>
  <c r="AK12" i="23" s="1"/>
  <c r="AF13" i="23"/>
  <c r="AE13" i="23" s="1"/>
  <c r="AH13" i="23"/>
  <c r="AG13" i="23" s="1"/>
  <c r="AJ13" i="23"/>
  <c r="AI13" i="23" s="1"/>
  <c r="AL13" i="23"/>
  <c r="AK13" i="23" s="1"/>
  <c r="AF14" i="23"/>
  <c r="AE14" i="23" s="1"/>
  <c r="AH14" i="23"/>
  <c r="AG14" i="23" s="1"/>
  <c r="AJ14" i="23"/>
  <c r="AI14" i="23" s="1"/>
  <c r="AL14" i="23"/>
  <c r="AK14" i="23" s="1"/>
  <c r="AF15" i="23"/>
  <c r="AE15" i="23" s="1"/>
  <c r="AH15" i="23"/>
  <c r="AG15" i="23" s="1"/>
  <c r="AJ15" i="23"/>
  <c r="AI15" i="23" s="1"/>
  <c r="AL15" i="23"/>
  <c r="AK15" i="23" s="1"/>
  <c r="AF16" i="23"/>
  <c r="AE16" i="23" s="1"/>
  <c r="AH16" i="23"/>
  <c r="AG16" i="23" s="1"/>
  <c r="AJ16" i="23"/>
  <c r="AI16" i="23" s="1"/>
  <c r="AL16" i="23"/>
  <c r="AK16" i="23" s="1"/>
  <c r="AF17" i="23"/>
  <c r="AE17" i="23" s="1"/>
  <c r="AH17" i="23"/>
  <c r="AG17" i="23" s="1"/>
  <c r="AJ17" i="23"/>
  <c r="AI17" i="23" s="1"/>
  <c r="AL17" i="23"/>
  <c r="AK17" i="23" s="1"/>
  <c r="AF18" i="23"/>
  <c r="AE18" i="23" s="1"/>
  <c r="AH18" i="23"/>
  <c r="AG18" i="23" s="1"/>
  <c r="AJ18" i="23"/>
  <c r="AI18" i="23" s="1"/>
  <c r="AL18" i="23"/>
  <c r="AK18" i="23" s="1"/>
  <c r="AF19" i="23"/>
  <c r="AE19" i="23" s="1"/>
  <c r="AH19" i="23"/>
  <c r="AG19" i="23" s="1"/>
  <c r="AJ19" i="23"/>
  <c r="AI19" i="23" s="1"/>
  <c r="AL19" i="23"/>
  <c r="AK19" i="23" s="1"/>
  <c r="AF20" i="23"/>
  <c r="AE20" i="23" s="1"/>
  <c r="AH20" i="23"/>
  <c r="AG20" i="23" s="1"/>
  <c r="AJ20" i="23"/>
  <c r="AI20" i="23" s="1"/>
  <c r="AL20" i="23"/>
  <c r="AK20" i="23" s="1"/>
  <c r="AF21" i="23"/>
  <c r="AE21" i="23" s="1"/>
  <c r="AH21" i="23"/>
  <c r="AG21" i="23" s="1"/>
  <c r="AJ21" i="23"/>
  <c r="AI21" i="23" s="1"/>
  <c r="AL21" i="23"/>
  <c r="AK21" i="23" s="1"/>
  <c r="AF22" i="23"/>
  <c r="AE22" i="23" s="1"/>
  <c r="AH22" i="23"/>
  <c r="AG22" i="23" s="1"/>
  <c r="AJ22" i="23"/>
  <c r="AI22" i="23" s="1"/>
  <c r="AL22" i="23"/>
  <c r="AK22" i="23" s="1"/>
  <c r="AF23" i="23"/>
  <c r="AE23" i="23" s="1"/>
  <c r="AH23" i="23"/>
  <c r="AG23" i="23" s="1"/>
  <c r="AJ23" i="23"/>
  <c r="AI23" i="23" s="1"/>
  <c r="AL23" i="23"/>
  <c r="AK23" i="23" s="1"/>
  <c r="AF24" i="23"/>
  <c r="AE24" i="23" s="1"/>
  <c r="AH24" i="23"/>
  <c r="AG24" i="23" s="1"/>
  <c r="AJ24" i="23"/>
  <c r="AI24" i="23" s="1"/>
  <c r="AL24" i="23"/>
  <c r="AK24" i="23" s="1"/>
  <c r="AF25" i="23"/>
  <c r="AE25" i="23" s="1"/>
  <c r="AH25" i="23"/>
  <c r="AG25" i="23" s="1"/>
  <c r="AJ25" i="23"/>
  <c r="AI25" i="23" s="1"/>
  <c r="AL25" i="23"/>
  <c r="AK25" i="23" s="1"/>
  <c r="AF26" i="23"/>
  <c r="AE26" i="23" s="1"/>
  <c r="AH26" i="23"/>
  <c r="AG26" i="23" s="1"/>
  <c r="AJ26" i="23"/>
  <c r="AI26" i="23" s="1"/>
  <c r="AL26" i="23"/>
  <c r="AK26" i="23" s="1"/>
  <c r="AF27" i="23"/>
  <c r="AE27" i="23" s="1"/>
  <c r="AH27" i="23"/>
  <c r="AG27" i="23" s="1"/>
  <c r="AJ27" i="23"/>
  <c r="AI27" i="23" s="1"/>
  <c r="AL27" i="23"/>
  <c r="AK27" i="23" s="1"/>
  <c r="AF28" i="23"/>
  <c r="AE28" i="23" s="1"/>
  <c r="AH28" i="23"/>
  <c r="AG28" i="23" s="1"/>
  <c r="AJ28" i="23"/>
  <c r="AI28" i="23" s="1"/>
  <c r="AL28" i="23"/>
  <c r="AK28" i="23" s="1"/>
  <c r="AF29" i="23"/>
  <c r="AE29" i="23" s="1"/>
  <c r="AH29" i="23"/>
  <c r="AG29" i="23" s="1"/>
  <c r="AJ29" i="23"/>
  <c r="AI29" i="23" s="1"/>
  <c r="AL29" i="23"/>
  <c r="AK29" i="23" s="1"/>
  <c r="AF30" i="23"/>
  <c r="AE30" i="23" s="1"/>
  <c r="AH30" i="23"/>
  <c r="AG30" i="23" s="1"/>
  <c r="AJ30" i="23"/>
  <c r="AI30" i="23" s="1"/>
  <c r="AL30" i="23"/>
  <c r="AK30" i="23" s="1"/>
  <c r="AF31" i="23"/>
  <c r="AE31" i="23" s="1"/>
  <c r="AH31" i="23"/>
  <c r="AG31" i="23" s="1"/>
  <c r="AJ31" i="23"/>
  <c r="AI31" i="23" s="1"/>
  <c r="AL31" i="23"/>
  <c r="AK31" i="23" s="1"/>
  <c r="AA25" i="32"/>
  <c r="Y25" i="32"/>
  <c r="AB25" i="32" s="1"/>
  <c r="W25" i="32"/>
  <c r="AA24" i="32"/>
  <c r="Y24" i="32"/>
  <c r="W24" i="32"/>
  <c r="AA23" i="32"/>
  <c r="Y23" i="32"/>
  <c r="W23" i="32"/>
  <c r="AA22" i="32"/>
  <c r="Y22" i="32"/>
  <c r="W22" i="32"/>
  <c r="AA21" i="32"/>
  <c r="Y21" i="32"/>
  <c r="AB21" i="32" s="1"/>
  <c r="W21" i="32"/>
  <c r="AA20" i="32"/>
  <c r="Y20" i="32"/>
  <c r="W20" i="32"/>
  <c r="AA19" i="32"/>
  <c r="Y19" i="32"/>
  <c r="AB19" i="32" s="1"/>
  <c r="W19" i="32"/>
  <c r="AA18" i="32"/>
  <c r="Y18" i="32"/>
  <c r="W18" i="32"/>
  <c r="AA17" i="32"/>
  <c r="Y17" i="32"/>
  <c r="AB17" i="32" s="1"/>
  <c r="W17" i="32"/>
  <c r="AA16" i="32"/>
  <c r="Y16" i="32"/>
  <c r="W16" i="32"/>
  <c r="AA15" i="32"/>
  <c r="Y15" i="32"/>
  <c r="AB15" i="32" s="1"/>
  <c r="W15" i="32"/>
  <c r="AA14" i="32"/>
  <c r="Y14" i="32"/>
  <c r="W14" i="32"/>
  <c r="AA13" i="32"/>
  <c r="Y13" i="32"/>
  <c r="AB13" i="32" s="1"/>
  <c r="W13" i="32"/>
  <c r="AA12" i="32"/>
  <c r="Y12" i="32"/>
  <c r="W12" i="32"/>
  <c r="AA11" i="32"/>
  <c r="Y11" i="32"/>
  <c r="AB11" i="32" s="1"/>
  <c r="W11" i="32"/>
  <c r="AA10" i="32"/>
  <c r="Y10" i="32"/>
  <c r="W10" i="32"/>
  <c r="AA9" i="32"/>
  <c r="Y9" i="32"/>
  <c r="AB9" i="32" s="1"/>
  <c r="W9" i="32"/>
  <c r="AA8" i="32"/>
  <c r="Y8" i="32"/>
  <c r="W8" i="32"/>
  <c r="AE16" i="28"/>
  <c r="AE15" i="28"/>
  <c r="AE14" i="28"/>
  <c r="AE13" i="28"/>
  <c r="AE12" i="28"/>
  <c r="AE11" i="28"/>
  <c r="AE10" i="28"/>
  <c r="AE9" i="28"/>
  <c r="W39" i="28"/>
  <c r="W38" i="28"/>
  <c r="W36" i="28"/>
  <c r="W35" i="28"/>
  <c r="W33" i="28"/>
  <c r="W32" i="28"/>
  <c r="W31" i="28"/>
  <c r="W30" i="28"/>
  <c r="X30" i="28" s="1"/>
  <c r="W28" i="28"/>
  <c r="W27" i="28"/>
  <c r="W26" i="28"/>
  <c r="W25" i="28"/>
  <c r="W24" i="28"/>
  <c r="W23" i="28"/>
  <c r="W21" i="28"/>
  <c r="W16" i="28"/>
  <c r="W15" i="28"/>
  <c r="W14" i="28"/>
  <c r="W13" i="28"/>
  <c r="W12" i="28"/>
  <c r="W11" i="28"/>
  <c r="W10" i="28"/>
  <c r="W9" i="28"/>
  <c r="AK8" i="23"/>
  <c r="C323" i="23"/>
  <c r="C322" i="23"/>
  <c r="C321" i="23"/>
  <c r="C320" i="23"/>
  <c r="C319" i="23"/>
  <c r="AA31" i="23"/>
  <c r="Y31" i="23"/>
  <c r="AB31" i="23" s="1"/>
  <c r="W31" i="23"/>
  <c r="AA30" i="23"/>
  <c r="Y30" i="23"/>
  <c r="AB30" i="23" s="1"/>
  <c r="W30" i="23"/>
  <c r="AA29" i="23"/>
  <c r="Y29" i="23"/>
  <c r="AB29" i="23" s="1"/>
  <c r="W29" i="23"/>
  <c r="AA28" i="23"/>
  <c r="Y28" i="23"/>
  <c r="AB28" i="23" s="1"/>
  <c r="W28" i="23"/>
  <c r="AA27" i="23"/>
  <c r="Y27" i="23"/>
  <c r="AB27" i="23" s="1"/>
  <c r="W27" i="23"/>
  <c r="AA26" i="23"/>
  <c r="Y26" i="23"/>
  <c r="AB26" i="23" s="1"/>
  <c r="W26" i="23"/>
  <c r="AA25" i="23"/>
  <c r="Y25" i="23"/>
  <c r="AB25" i="23" s="1"/>
  <c r="W25" i="23"/>
  <c r="AA24" i="23"/>
  <c r="Y24" i="23"/>
  <c r="AB24" i="23" s="1"/>
  <c r="W24" i="23"/>
  <c r="AA23" i="23"/>
  <c r="Y23" i="23"/>
  <c r="AB23" i="23" s="1"/>
  <c r="W23" i="23"/>
  <c r="AA22" i="23"/>
  <c r="Y22" i="23"/>
  <c r="AB22" i="23" s="1"/>
  <c r="W22" i="23"/>
  <c r="AA21" i="23"/>
  <c r="Y21" i="23"/>
  <c r="W21" i="23"/>
  <c r="AA20" i="23"/>
  <c r="Y20" i="23"/>
  <c r="AB20" i="23" s="1"/>
  <c r="W20" i="23"/>
  <c r="AA19" i="23"/>
  <c r="Y19" i="23"/>
  <c r="W19" i="23"/>
  <c r="AA18" i="23"/>
  <c r="Y18" i="23"/>
  <c r="AB18" i="23" s="1"/>
  <c r="W18" i="23"/>
  <c r="AA17" i="23"/>
  <c r="Y17" i="23"/>
  <c r="W17" i="23"/>
  <c r="AA16" i="23"/>
  <c r="Y16" i="23"/>
  <c r="AB16" i="23" s="1"/>
  <c r="W16" i="23"/>
  <c r="AA15" i="23"/>
  <c r="Y15" i="23"/>
  <c r="W15" i="23"/>
  <c r="AA14" i="23"/>
  <c r="Y14" i="23"/>
  <c r="AB14" i="23" s="1"/>
  <c r="W14" i="23"/>
  <c r="AA13" i="23"/>
  <c r="Y13" i="23"/>
  <c r="W13" i="23"/>
  <c r="AA12" i="23"/>
  <c r="Y12" i="23"/>
  <c r="AB12" i="23" s="1"/>
  <c r="W12" i="23"/>
  <c r="AA11" i="23"/>
  <c r="Y11" i="23"/>
  <c r="AB11" i="23" s="1"/>
  <c r="W11" i="23"/>
  <c r="AA10" i="23"/>
  <c r="Y10" i="23"/>
  <c r="AB10" i="23" s="1"/>
  <c r="W10" i="23"/>
  <c r="AA9" i="23"/>
  <c r="Y9" i="23"/>
  <c r="AB9" i="23" s="1"/>
  <c r="W9" i="23"/>
  <c r="AL8" i="23"/>
  <c r="AJ8" i="23"/>
  <c r="AI8" i="23" s="1"/>
  <c r="AH8" i="23"/>
  <c r="AG8" i="23" s="1"/>
  <c r="AF8" i="23"/>
  <c r="AE8" i="23" s="1"/>
  <c r="AA8" i="23"/>
  <c r="Y8" i="23"/>
  <c r="AB8" i="23" s="1"/>
  <c r="W8" i="23"/>
  <c r="A4" i="23"/>
  <c r="A3" i="23"/>
  <c r="A2" i="23"/>
  <c r="A1" i="23"/>
  <c r="C313" i="15"/>
  <c r="C311" i="16"/>
  <c r="C308" i="20"/>
  <c r="P5" i="4"/>
  <c r="C307" i="20"/>
  <c r="C306" i="20"/>
  <c r="C305" i="20"/>
  <c r="C304" i="20"/>
  <c r="C303" i="20"/>
  <c r="C302" i="20"/>
  <c r="C301" i="20"/>
  <c r="C300" i="20"/>
  <c r="AA16" i="20"/>
  <c r="Y16" i="20"/>
  <c r="W16" i="20"/>
  <c r="AA15" i="20"/>
  <c r="Y15" i="20"/>
  <c r="W15" i="20"/>
  <c r="AA14" i="20"/>
  <c r="Y14" i="20"/>
  <c r="W14" i="20"/>
  <c r="AA13" i="20"/>
  <c r="Y13" i="20"/>
  <c r="W13" i="20"/>
  <c r="AA12" i="20"/>
  <c r="Y12" i="20"/>
  <c r="W12" i="20"/>
  <c r="AA11" i="20"/>
  <c r="Y11" i="20"/>
  <c r="AB11" i="20" s="1"/>
  <c r="W11" i="20"/>
  <c r="AA10" i="20"/>
  <c r="Y10" i="20"/>
  <c r="W10" i="20"/>
  <c r="AA9" i="20"/>
  <c r="Y9" i="20"/>
  <c r="AB9" i="20" s="1"/>
  <c r="W9" i="20"/>
  <c r="AA8" i="20"/>
  <c r="Y8" i="20"/>
  <c r="W8" i="20"/>
  <c r="C310" i="19"/>
  <c r="C309" i="19"/>
  <c r="C308" i="19"/>
  <c r="C307" i="19"/>
  <c r="C306" i="19"/>
  <c r="C305" i="19"/>
  <c r="C304" i="19"/>
  <c r="C303" i="19"/>
  <c r="C302" i="19"/>
  <c r="C301" i="19"/>
  <c r="C300" i="19"/>
  <c r="AA18" i="19"/>
  <c r="Y18" i="19"/>
  <c r="W18" i="19"/>
  <c r="AA17" i="19"/>
  <c r="Y17" i="19"/>
  <c r="W17" i="19"/>
  <c r="AA16" i="19"/>
  <c r="Y16" i="19"/>
  <c r="W16" i="19"/>
  <c r="AA15" i="19"/>
  <c r="Y15" i="19"/>
  <c r="W15" i="19"/>
  <c r="AA14" i="19"/>
  <c r="Y14" i="19"/>
  <c r="W14" i="19"/>
  <c r="AA13" i="19"/>
  <c r="Y13" i="19"/>
  <c r="W13" i="19"/>
  <c r="AA12" i="19"/>
  <c r="Y12" i="19"/>
  <c r="W12" i="19"/>
  <c r="AA11" i="19"/>
  <c r="Y11" i="19"/>
  <c r="W11" i="19"/>
  <c r="AA10" i="19"/>
  <c r="Y10" i="19"/>
  <c r="W10" i="19"/>
  <c r="AA9" i="19"/>
  <c r="Y9" i="19"/>
  <c r="W9" i="19"/>
  <c r="AA8" i="19"/>
  <c r="Y8" i="19"/>
  <c r="W8" i="19"/>
  <c r="C304" i="18"/>
  <c r="C303" i="18"/>
  <c r="C302" i="18"/>
  <c r="C301" i="18"/>
  <c r="C300" i="18"/>
  <c r="AA16" i="18"/>
  <c r="Y16" i="18"/>
  <c r="AB16" i="18" s="1"/>
  <c r="W16" i="18"/>
  <c r="AA15" i="18"/>
  <c r="Y15" i="18"/>
  <c r="W15" i="18"/>
  <c r="AA14" i="18"/>
  <c r="Y14" i="18"/>
  <c r="AB14" i="18" s="1"/>
  <c r="W14" i="18"/>
  <c r="AA13" i="18"/>
  <c r="Y13" i="18"/>
  <c r="W13" i="18"/>
  <c r="AA12" i="18"/>
  <c r="Y12" i="18"/>
  <c r="AB12" i="18" s="1"/>
  <c r="W12" i="18"/>
  <c r="AA11" i="18"/>
  <c r="Y11" i="18"/>
  <c r="W11" i="18"/>
  <c r="AA10" i="18"/>
  <c r="Y10" i="18"/>
  <c r="AB10" i="18" s="1"/>
  <c r="W10" i="18"/>
  <c r="AA9" i="18"/>
  <c r="Y9" i="18"/>
  <c r="W9" i="18"/>
  <c r="AA8" i="18"/>
  <c r="Y8" i="18"/>
  <c r="AB8" i="18" s="1"/>
  <c r="W8" i="18"/>
  <c r="C309" i="17"/>
  <c r="C308" i="17"/>
  <c r="C307" i="17"/>
  <c r="C306" i="17"/>
  <c r="C305" i="17"/>
  <c r="C304" i="17"/>
  <c r="C303" i="17"/>
  <c r="C302" i="17"/>
  <c r="C301" i="17"/>
  <c r="C300" i="17"/>
  <c r="AA17" i="17"/>
  <c r="Y17" i="17"/>
  <c r="W17" i="17"/>
  <c r="AA16" i="17"/>
  <c r="Y16" i="17"/>
  <c r="W16" i="17"/>
  <c r="AA15" i="17"/>
  <c r="Y15" i="17"/>
  <c r="W15" i="17"/>
  <c r="AA14" i="17"/>
  <c r="Y14" i="17"/>
  <c r="W14" i="17"/>
  <c r="AA13" i="17"/>
  <c r="Y13" i="17"/>
  <c r="W13" i="17"/>
  <c r="AA12" i="17"/>
  <c r="Y12" i="17"/>
  <c r="W12" i="17"/>
  <c r="AA11" i="17"/>
  <c r="Y11" i="17"/>
  <c r="W11" i="17"/>
  <c r="AA10" i="17"/>
  <c r="Y10" i="17"/>
  <c r="W10" i="17"/>
  <c r="AA9" i="17"/>
  <c r="Y9" i="17"/>
  <c r="W9" i="17"/>
  <c r="AA8" i="17"/>
  <c r="Y8" i="17"/>
  <c r="W8" i="17"/>
  <c r="C310" i="16"/>
  <c r="C309" i="16"/>
  <c r="C308" i="16"/>
  <c r="C307" i="16"/>
  <c r="C306" i="16"/>
  <c r="C305" i="16"/>
  <c r="C304" i="16"/>
  <c r="C303" i="16"/>
  <c r="C302" i="16"/>
  <c r="C301" i="16"/>
  <c r="C300" i="16"/>
  <c r="AA19" i="16"/>
  <c r="Y19" i="16"/>
  <c r="W19" i="16"/>
  <c r="AA18" i="16"/>
  <c r="Y18" i="16"/>
  <c r="W18" i="16"/>
  <c r="AA17" i="16"/>
  <c r="Y17" i="16"/>
  <c r="W17" i="16"/>
  <c r="AA16" i="16"/>
  <c r="Y16" i="16"/>
  <c r="W16" i="16"/>
  <c r="AA15" i="16"/>
  <c r="Y15" i="16"/>
  <c r="W15" i="16"/>
  <c r="AA14" i="16"/>
  <c r="Y14" i="16"/>
  <c r="W14" i="16"/>
  <c r="AA13" i="16"/>
  <c r="Y13" i="16"/>
  <c r="W13" i="16"/>
  <c r="AA12" i="16"/>
  <c r="Y12" i="16"/>
  <c r="W12" i="16"/>
  <c r="AA11" i="16"/>
  <c r="Y11" i="16"/>
  <c r="W11" i="16"/>
  <c r="AA10" i="16"/>
  <c r="Y10" i="16"/>
  <c r="W10" i="16"/>
  <c r="AA9" i="16"/>
  <c r="Y9" i="16"/>
  <c r="W9" i="16"/>
  <c r="AA8" i="16"/>
  <c r="Y8" i="16"/>
  <c r="W8" i="16"/>
  <c r="C312" i="15"/>
  <c r="C311" i="15"/>
  <c r="C310" i="15"/>
  <c r="C309" i="15"/>
  <c r="C308" i="15"/>
  <c r="C307" i="15"/>
  <c r="C306" i="15"/>
  <c r="C305" i="15"/>
  <c r="C304" i="15"/>
  <c r="C303" i="15"/>
  <c r="C302" i="15"/>
  <c r="C301" i="15"/>
  <c r="C300" i="15"/>
  <c r="AA21" i="15"/>
  <c r="Y21" i="15"/>
  <c r="AB21" i="15" s="1"/>
  <c r="W21" i="15"/>
  <c r="AA20" i="15"/>
  <c r="Y20" i="15"/>
  <c r="W20" i="15"/>
  <c r="AA19" i="15"/>
  <c r="Y19" i="15"/>
  <c r="W19" i="15"/>
  <c r="AA18" i="15"/>
  <c r="Y18" i="15"/>
  <c r="W18" i="15"/>
  <c r="AA17" i="15"/>
  <c r="Y17" i="15"/>
  <c r="W17" i="15"/>
  <c r="AA16" i="15"/>
  <c r="Y16" i="15"/>
  <c r="W16" i="15"/>
  <c r="AA15" i="15"/>
  <c r="Y15" i="15"/>
  <c r="W15" i="15"/>
  <c r="AA14" i="15"/>
  <c r="Y14" i="15"/>
  <c r="W14" i="15"/>
  <c r="AA13" i="15"/>
  <c r="Y13" i="15"/>
  <c r="AB13" i="15" s="1"/>
  <c r="W13" i="15"/>
  <c r="AA12" i="15"/>
  <c r="Y12" i="15"/>
  <c r="W12" i="15"/>
  <c r="AA11" i="15"/>
  <c r="Y11" i="15"/>
  <c r="AB11" i="15" s="1"/>
  <c r="W11" i="15"/>
  <c r="AA10" i="15"/>
  <c r="Y10" i="15"/>
  <c r="W10" i="15"/>
  <c r="AA9" i="15"/>
  <c r="Y9" i="15"/>
  <c r="AB9" i="15" s="1"/>
  <c r="W9" i="15"/>
  <c r="AA8" i="15"/>
  <c r="Y8" i="15"/>
  <c r="W8" i="15"/>
  <c r="C309" i="14"/>
  <c r="C308" i="14"/>
  <c r="C307" i="14"/>
  <c r="C306" i="14"/>
  <c r="C305" i="14"/>
  <c r="C304" i="14"/>
  <c r="C303" i="14"/>
  <c r="C302" i="14"/>
  <c r="C301" i="14"/>
  <c r="C300" i="14"/>
  <c r="AA17" i="14"/>
  <c r="Y17" i="14"/>
  <c r="W17" i="14"/>
  <c r="AA16" i="14"/>
  <c r="Y16" i="14"/>
  <c r="W16" i="14"/>
  <c r="AA15" i="14"/>
  <c r="Y15" i="14"/>
  <c r="W15" i="14"/>
  <c r="AA14" i="14"/>
  <c r="Y14" i="14"/>
  <c r="W14" i="14"/>
  <c r="AA13" i="14"/>
  <c r="Y13" i="14"/>
  <c r="W13" i="14"/>
  <c r="AA12" i="14"/>
  <c r="Y12" i="14"/>
  <c r="W12" i="14"/>
  <c r="AA11" i="14"/>
  <c r="Y11" i="14"/>
  <c r="AB11" i="14" s="1"/>
  <c r="W11" i="14"/>
  <c r="AA10" i="14"/>
  <c r="Y10" i="14"/>
  <c r="W10" i="14"/>
  <c r="AA9" i="14"/>
  <c r="Y9" i="14"/>
  <c r="AB9" i="14" s="1"/>
  <c r="W9" i="14"/>
  <c r="AA8" i="14"/>
  <c r="Y8" i="14"/>
  <c r="W8" i="14"/>
  <c r="C309" i="13"/>
  <c r="C308" i="13"/>
  <c r="C307" i="13"/>
  <c r="C306" i="13"/>
  <c r="C305" i="13"/>
  <c r="C304" i="13"/>
  <c r="C303" i="13"/>
  <c r="C302" i="13"/>
  <c r="C301" i="13"/>
  <c r="C300" i="13"/>
  <c r="AA17" i="13"/>
  <c r="Y17" i="13"/>
  <c r="W17" i="13"/>
  <c r="AA16" i="13"/>
  <c r="Y16" i="13"/>
  <c r="W16" i="13"/>
  <c r="AA15" i="13"/>
  <c r="Y15" i="13"/>
  <c r="W15" i="13"/>
  <c r="AA14" i="13"/>
  <c r="Y14" i="13"/>
  <c r="W14" i="13"/>
  <c r="AA13" i="13"/>
  <c r="Y13" i="13"/>
  <c r="W13" i="13"/>
  <c r="AA12" i="13"/>
  <c r="Y12" i="13"/>
  <c r="W12" i="13"/>
  <c r="AA11" i="13"/>
  <c r="Y11" i="13"/>
  <c r="W11" i="13"/>
  <c r="AA10" i="13"/>
  <c r="Y10" i="13"/>
  <c r="W10" i="13"/>
  <c r="AA9" i="13"/>
  <c r="Y9" i="13"/>
  <c r="W9" i="13"/>
  <c r="AA8" i="13"/>
  <c r="Y8" i="13"/>
  <c r="W8" i="13"/>
  <c r="C309" i="12"/>
  <c r="C308" i="12"/>
  <c r="C307" i="12"/>
  <c r="C306" i="12"/>
  <c r="C305" i="12"/>
  <c r="C304" i="12"/>
  <c r="C303" i="12"/>
  <c r="C302" i="12"/>
  <c r="C301" i="12"/>
  <c r="C300" i="12"/>
  <c r="AA17" i="12"/>
  <c r="Y17" i="12"/>
  <c r="W17" i="12"/>
  <c r="AA16" i="12"/>
  <c r="Y16" i="12"/>
  <c r="W16" i="12"/>
  <c r="AA15" i="12"/>
  <c r="Y15" i="12"/>
  <c r="W15" i="12"/>
  <c r="AA14" i="12"/>
  <c r="Y14" i="12"/>
  <c r="W14" i="12"/>
  <c r="AA13" i="12"/>
  <c r="Y13" i="12"/>
  <c r="W13" i="12"/>
  <c r="AA12" i="12"/>
  <c r="Y12" i="12"/>
  <c r="W12" i="12"/>
  <c r="AA11" i="12"/>
  <c r="Y11" i="12"/>
  <c r="W11" i="12"/>
  <c r="AA10" i="12"/>
  <c r="Y10" i="12"/>
  <c r="W10" i="12"/>
  <c r="AA9" i="12"/>
  <c r="Y9" i="12"/>
  <c r="W9" i="12"/>
  <c r="AA8" i="12"/>
  <c r="Y8" i="12"/>
  <c r="W8" i="12"/>
  <c r="C308" i="11"/>
  <c r="C307" i="11"/>
  <c r="C306" i="11"/>
  <c r="C305" i="11"/>
  <c r="C304" i="11"/>
  <c r="C303" i="11"/>
  <c r="C302" i="11"/>
  <c r="C301" i="11"/>
  <c r="C300" i="11"/>
  <c r="AA17" i="11"/>
  <c r="Y17" i="11"/>
  <c r="W17" i="11"/>
  <c r="AA16" i="11"/>
  <c r="Y16" i="11"/>
  <c r="W16" i="11"/>
  <c r="AA15" i="11"/>
  <c r="Y15" i="11"/>
  <c r="W15" i="11"/>
  <c r="AA14" i="11"/>
  <c r="Y14" i="11"/>
  <c r="W14" i="11"/>
  <c r="AA13" i="11"/>
  <c r="Y13" i="11"/>
  <c r="W13" i="11"/>
  <c r="AA12" i="11"/>
  <c r="Y12" i="11"/>
  <c r="W12" i="11"/>
  <c r="AA11" i="11"/>
  <c r="Y11" i="11"/>
  <c r="AB11" i="11" s="1"/>
  <c r="W11" i="11"/>
  <c r="AA10" i="11"/>
  <c r="Y10" i="11"/>
  <c r="W10" i="11"/>
  <c r="AA9" i="11"/>
  <c r="Y9" i="11"/>
  <c r="AB9" i="11" s="1"/>
  <c r="W9" i="11"/>
  <c r="AA8" i="11"/>
  <c r="Y8" i="11"/>
  <c r="W8" i="11"/>
  <c r="X38" i="28"/>
  <c r="X35" i="28"/>
  <c r="X36" i="28"/>
  <c r="X39" i="28"/>
  <c r="AD24" i="23" l="1"/>
  <c r="AD23" i="23"/>
  <c r="AD22" i="23"/>
  <c r="AD21" i="23"/>
  <c r="AD20" i="23"/>
  <c r="AD19" i="23"/>
  <c r="AD18" i="23"/>
  <c r="AD17" i="23"/>
  <c r="AD16" i="23"/>
  <c r="AD15" i="23"/>
  <c r="AD14" i="23"/>
  <c r="AD13" i="23"/>
  <c r="AD12" i="23"/>
  <c r="AD11" i="23"/>
  <c r="AD10" i="23"/>
  <c r="AD9" i="23"/>
  <c r="AB23" i="32"/>
  <c r="Z26" i="28"/>
  <c r="Z24" i="28"/>
  <c r="Z20" i="28"/>
  <c r="Z22" i="28"/>
  <c r="X19" i="28"/>
  <c r="X17" i="28"/>
  <c r="X18" i="28"/>
  <c r="X9" i="28"/>
  <c r="X11" i="28"/>
  <c r="X13" i="28"/>
  <c r="X15" i="28"/>
  <c r="X10" i="28"/>
  <c r="X12" i="28"/>
  <c r="X14" i="28"/>
  <c r="X16" i="28"/>
  <c r="Y21" i="28"/>
  <c r="Y23" i="28"/>
  <c r="Y25" i="28"/>
  <c r="Y27" i="28"/>
  <c r="AD25" i="23"/>
  <c r="AD29" i="23"/>
  <c r="AD28" i="23"/>
  <c r="AD27" i="23"/>
  <c r="AD26" i="23"/>
  <c r="Y20" i="28"/>
  <c r="AA20" i="28"/>
  <c r="Y22" i="28"/>
  <c r="AA22" i="28"/>
  <c r="Y24" i="28"/>
  <c r="AA24" i="28"/>
  <c r="Y26" i="28"/>
  <c r="AA26" i="28"/>
  <c r="X32" i="28"/>
  <c r="AD31" i="23"/>
  <c r="AD30" i="23"/>
  <c r="AB8" i="32"/>
  <c r="AB10" i="32"/>
  <c r="AB12" i="32"/>
  <c r="AB14" i="32"/>
  <c r="AB16" i="32"/>
  <c r="AB18" i="32"/>
  <c r="AB20" i="32"/>
  <c r="AB22" i="32"/>
  <c r="AB24" i="32"/>
  <c r="X31" i="28"/>
  <c r="X33" i="28"/>
  <c r="B323" i="23"/>
  <c r="B322" i="23"/>
  <c r="B321" i="23"/>
  <c r="B320" i="23"/>
  <c r="B319" i="23"/>
  <c r="B318" i="23"/>
  <c r="B317" i="23"/>
  <c r="B316" i="23"/>
  <c r="B315" i="23"/>
  <c r="B314" i="23"/>
  <c r="B313" i="23"/>
  <c r="B312" i="23"/>
  <c r="B311" i="23"/>
  <c r="B310" i="23"/>
  <c r="B309" i="23"/>
  <c r="B308" i="23"/>
  <c r="B307" i="23"/>
  <c r="B306" i="23"/>
  <c r="B305" i="23"/>
  <c r="B304" i="23"/>
  <c r="B303" i="23"/>
  <c r="B302" i="23"/>
  <c r="B301" i="23"/>
  <c r="B300" i="23"/>
  <c r="AB13" i="23"/>
  <c r="AB15" i="23"/>
  <c r="AB17" i="23"/>
  <c r="AB19" i="23"/>
  <c r="AB21" i="23"/>
  <c r="AB9" i="12"/>
  <c r="AB11" i="12"/>
  <c r="AB12" i="12"/>
  <c r="AB14" i="12"/>
  <c r="AB16" i="15"/>
  <c r="AB18" i="15"/>
  <c r="AB19" i="15"/>
  <c r="AB9" i="16"/>
  <c r="AB11" i="16"/>
  <c r="AB9" i="17"/>
  <c r="AB11" i="17"/>
  <c r="AB9" i="19"/>
  <c r="AB11" i="19"/>
  <c r="AB13" i="19"/>
  <c r="AB15" i="19"/>
  <c r="AB17" i="19"/>
  <c r="AB8" i="19"/>
  <c r="AB10" i="19"/>
  <c r="AB12" i="19"/>
  <c r="AB14" i="19"/>
  <c r="AB16" i="19"/>
  <c r="AB18" i="19"/>
  <c r="AB9" i="18"/>
  <c r="AB11" i="18"/>
  <c r="AB8" i="17"/>
  <c r="AB10" i="17"/>
  <c r="AB12" i="17"/>
  <c r="AB14" i="17"/>
  <c r="AB16" i="17"/>
  <c r="AB8" i="16"/>
  <c r="AB10" i="16"/>
  <c r="AB12" i="16"/>
  <c r="AB14" i="16"/>
  <c r="AB16" i="16"/>
  <c r="AB18" i="16"/>
  <c r="AB12" i="15"/>
  <c r="AB14" i="15"/>
  <c r="AB15" i="15"/>
  <c r="AB17" i="15"/>
  <c r="AB20" i="15"/>
  <c r="AB8" i="14"/>
  <c r="AB10" i="14"/>
  <c r="AB12" i="14"/>
  <c r="AB14" i="14"/>
  <c r="AB16" i="14"/>
  <c r="AB9" i="13"/>
  <c r="AB11" i="13"/>
  <c r="AB17" i="12"/>
  <c r="AB8" i="11"/>
  <c r="AB10" i="11"/>
  <c r="AB12" i="11"/>
  <c r="AB14" i="11"/>
  <c r="AB16" i="11"/>
  <c r="AB8" i="13"/>
  <c r="AB10" i="13"/>
  <c r="AB12" i="13"/>
  <c r="AB14" i="13"/>
  <c r="AB16" i="13"/>
  <c r="AB8" i="12"/>
  <c r="AB10" i="12"/>
  <c r="AB13" i="12"/>
  <c r="AB15" i="12"/>
  <c r="AB16" i="12"/>
  <c r="AB8" i="20"/>
  <c r="AB10" i="20"/>
  <c r="AB12" i="20"/>
  <c r="AB14" i="20"/>
  <c r="AB16" i="20"/>
  <c r="AB13" i="20"/>
  <c r="AB15" i="20"/>
  <c r="AB13" i="18"/>
  <c r="AB15" i="18"/>
  <c r="AB13" i="17"/>
  <c r="AB15" i="17"/>
  <c r="AB17" i="17"/>
  <c r="AB13" i="16"/>
  <c r="AB15" i="16"/>
  <c r="AB17" i="16"/>
  <c r="AB19" i="16"/>
  <c r="AB8" i="15"/>
  <c r="AB10" i="15"/>
  <c r="AB13" i="14"/>
  <c r="AB15" i="14"/>
  <c r="AB17" i="14"/>
  <c r="AB13" i="13"/>
  <c r="AB15" i="13"/>
  <c r="AB17" i="13"/>
  <c r="AB13" i="11"/>
  <c r="AB15" i="11"/>
  <c r="AB17" i="11"/>
  <c r="B309" i="28" l="1"/>
  <c r="X27" i="28"/>
  <c r="X25" i="28"/>
  <c r="X23" i="28"/>
  <c r="X21" i="28"/>
  <c r="B23" i="28"/>
  <c r="B26" i="28"/>
  <c r="B27" i="28"/>
  <c r="B22" i="28"/>
  <c r="B21" i="28"/>
  <c r="B24" i="28"/>
  <c r="B28" i="28"/>
  <c r="B25" i="28"/>
  <c r="X28" i="28"/>
  <c r="X24" i="28"/>
  <c r="X26" i="28"/>
  <c r="X22" i="28"/>
  <c r="B305" i="28" l="1"/>
  <c r="B307" i="28"/>
  <c r="B31" i="28"/>
  <c r="B30" i="28"/>
  <c r="B35" i="28" s="1"/>
  <c r="B302" i="28" s="1"/>
  <c r="B32" i="28"/>
  <c r="B33" i="28"/>
  <c r="B36" i="28" s="1"/>
  <c r="B303" i="28" s="1"/>
  <c r="B304" i="28"/>
  <c r="B308" i="28"/>
  <c r="B306" i="28"/>
  <c r="B310" i="28"/>
  <c r="B39" i="28"/>
  <c r="B38" i="28"/>
  <c r="B300" i="28" l="1"/>
  <c r="B301" i="28"/>
  <c r="W10" i="4" l="1"/>
  <c r="W58" i="4"/>
  <c r="W46" i="4"/>
  <c r="W52" i="4"/>
  <c r="W48" i="4"/>
  <c r="W41" i="4"/>
  <c r="W38" i="4"/>
  <c r="W37" i="4"/>
  <c r="W34" i="4"/>
  <c r="W27" i="4"/>
  <c r="W21" i="4"/>
  <c r="W22" i="4"/>
  <c r="W11" i="4"/>
  <c r="W13" i="4"/>
  <c r="W62" i="4"/>
  <c r="W59" i="4"/>
  <c r="W54" i="4"/>
  <c r="W49" i="4"/>
  <c r="W44" i="4"/>
  <c r="W45" i="4"/>
  <c r="W30" i="4"/>
  <c r="W33" i="4"/>
  <c r="W28" i="4"/>
  <c r="W24" i="4"/>
  <c r="W19" i="4"/>
  <c r="W16" i="4"/>
  <c r="W14" i="4"/>
  <c r="W61" i="4"/>
  <c r="W53" i="4"/>
  <c r="W50" i="4"/>
  <c r="W42" i="4"/>
  <c r="W40" i="4"/>
  <c r="W32" i="4"/>
  <c r="W35" i="4"/>
  <c r="W29" i="4"/>
  <c r="W26" i="4"/>
  <c r="W23" i="4"/>
  <c r="W17" i="4"/>
  <c r="W12" i="4"/>
  <c r="W56" i="4"/>
  <c r="W60" i="4"/>
  <c r="W57" i="4"/>
  <c r="W55" i="4"/>
  <c r="W51" i="4"/>
  <c r="W47" i="4"/>
  <c r="W43" i="4"/>
  <c r="W39" i="4"/>
  <c r="W36" i="4"/>
  <c r="W31" i="4"/>
  <c r="W25" i="4"/>
  <c r="W18" i="4"/>
  <c r="W20" i="4"/>
  <c r="W15" i="4"/>
  <c r="W9" i="4"/>
  <c r="W8" i="4"/>
  <c r="AE31" i="9" l="1"/>
  <c r="AE30" i="9"/>
  <c r="AE29" i="9"/>
  <c r="AE28" i="9"/>
  <c r="AE27" i="9"/>
  <c r="AE26" i="9"/>
  <c r="AE25" i="9"/>
  <c r="AE24" i="9"/>
  <c r="AE23" i="9"/>
  <c r="AE22" i="9"/>
  <c r="AE21" i="9"/>
  <c r="AE20" i="9"/>
  <c r="AE19" i="9"/>
  <c r="AE18" i="9"/>
  <c r="AE17" i="9"/>
  <c r="AE16" i="9"/>
  <c r="AE15" i="9"/>
  <c r="AE14" i="9"/>
  <c r="AE13" i="9"/>
  <c r="AE12" i="9"/>
  <c r="AE11" i="9"/>
  <c r="AE10" i="9"/>
  <c r="AE9" i="9"/>
  <c r="AK31" i="9"/>
  <c r="AK30" i="9"/>
  <c r="AK29" i="9"/>
  <c r="AK28" i="9"/>
  <c r="AK27" i="9"/>
  <c r="AK26" i="9"/>
  <c r="AK25" i="9"/>
  <c r="AK24" i="9"/>
  <c r="AK23" i="9"/>
  <c r="AK22" i="9"/>
  <c r="AK21" i="9"/>
  <c r="AK20" i="9"/>
  <c r="AK19" i="9"/>
  <c r="AK18" i="9"/>
  <c r="AK17" i="9"/>
  <c r="AK16" i="9"/>
  <c r="AK15" i="9"/>
  <c r="AK14" i="9"/>
  <c r="AK13" i="9"/>
  <c r="AK12" i="9"/>
  <c r="AK11" i="9"/>
  <c r="AK10" i="9"/>
  <c r="AK9" i="9"/>
  <c r="AK8" i="9"/>
  <c r="AI31" i="9"/>
  <c r="AI30" i="9"/>
  <c r="AI29" i="9"/>
  <c r="AI28" i="9"/>
  <c r="AI27" i="9"/>
  <c r="AI26" i="9"/>
  <c r="AI25" i="9"/>
  <c r="AI24" i="9"/>
  <c r="AI23" i="9"/>
  <c r="AI22" i="9"/>
  <c r="AI21" i="9"/>
  <c r="AI20" i="9"/>
  <c r="AI19" i="9"/>
  <c r="AI18" i="9"/>
  <c r="AI17" i="9"/>
  <c r="AI16" i="9"/>
  <c r="AI15" i="9"/>
  <c r="AI14" i="9"/>
  <c r="AI13" i="9"/>
  <c r="AI12" i="9"/>
  <c r="AI11" i="9"/>
  <c r="AI10" i="9"/>
  <c r="AI9" i="9"/>
  <c r="AG31" i="9"/>
  <c r="AG30" i="9"/>
  <c r="AG29" i="9"/>
  <c r="AG28" i="9"/>
  <c r="AG27" i="9"/>
  <c r="AG26" i="9"/>
  <c r="AG25" i="9"/>
  <c r="AG24" i="9"/>
  <c r="AG23" i="9"/>
  <c r="AG22" i="9"/>
  <c r="AG21" i="9"/>
  <c r="AG20" i="9"/>
  <c r="AG19" i="9"/>
  <c r="AG18" i="9"/>
  <c r="AG17" i="9"/>
  <c r="AG16" i="9"/>
  <c r="AG15" i="9"/>
  <c r="AG14" i="9"/>
  <c r="AG13" i="9"/>
  <c r="AG12" i="9"/>
  <c r="AG11" i="9"/>
  <c r="AG10" i="9"/>
  <c r="AG9" i="9"/>
  <c r="AF9" i="9" l="1"/>
  <c r="AH9" i="9"/>
  <c r="AJ9" i="9"/>
  <c r="AL9" i="9"/>
  <c r="AF10" i="9"/>
  <c r="AH10" i="9"/>
  <c r="AJ10" i="9"/>
  <c r="AL10" i="9"/>
  <c r="AF11" i="9"/>
  <c r="AH11" i="9"/>
  <c r="AJ11" i="9"/>
  <c r="AL11" i="9"/>
  <c r="AF12" i="9"/>
  <c r="AH12" i="9"/>
  <c r="AJ12" i="9"/>
  <c r="AL12" i="9"/>
  <c r="AF13" i="9"/>
  <c r="AH13" i="9"/>
  <c r="AJ13" i="9"/>
  <c r="AL13" i="9"/>
  <c r="AF14" i="9"/>
  <c r="AH14" i="9"/>
  <c r="AJ14" i="9"/>
  <c r="AL14" i="9"/>
  <c r="AF15" i="9"/>
  <c r="AH15" i="9"/>
  <c r="AJ15" i="9"/>
  <c r="AL15" i="9"/>
  <c r="AF16" i="9"/>
  <c r="AH16" i="9"/>
  <c r="AJ16" i="9"/>
  <c r="AL16" i="9"/>
  <c r="AF17" i="9"/>
  <c r="AH17" i="9"/>
  <c r="AJ17" i="9"/>
  <c r="AL17" i="9"/>
  <c r="AF18" i="9"/>
  <c r="AH18" i="9"/>
  <c r="AJ18" i="9"/>
  <c r="AL18" i="9"/>
  <c r="AF19" i="9"/>
  <c r="AH19" i="9"/>
  <c r="AJ19" i="9"/>
  <c r="AL19" i="9"/>
  <c r="AF20" i="9"/>
  <c r="AH20" i="9"/>
  <c r="AJ20" i="9"/>
  <c r="AL20" i="9"/>
  <c r="AF21" i="9"/>
  <c r="AH21" i="9"/>
  <c r="AJ21" i="9"/>
  <c r="AL21" i="9"/>
  <c r="AF22" i="9"/>
  <c r="AH22" i="9"/>
  <c r="AJ22" i="9"/>
  <c r="AL22" i="9"/>
  <c r="AF23" i="9"/>
  <c r="AH23" i="9"/>
  <c r="AJ23" i="9"/>
  <c r="AL23" i="9"/>
  <c r="AF24" i="9"/>
  <c r="AH24" i="9"/>
  <c r="AJ24" i="9"/>
  <c r="AL24" i="9"/>
  <c r="AF25" i="9"/>
  <c r="AH25" i="9"/>
  <c r="AJ25" i="9"/>
  <c r="AL25" i="9"/>
  <c r="AF26" i="9"/>
  <c r="AH26" i="9"/>
  <c r="AJ26" i="9"/>
  <c r="AL26" i="9"/>
  <c r="AF27" i="9"/>
  <c r="AH27" i="9"/>
  <c r="AJ27" i="9"/>
  <c r="AL27" i="9"/>
  <c r="AF28" i="9"/>
  <c r="AH28" i="9"/>
  <c r="AJ28" i="9"/>
  <c r="AL28" i="9"/>
  <c r="AF29" i="9"/>
  <c r="AH29" i="9"/>
  <c r="AJ29" i="9"/>
  <c r="AL29" i="9"/>
  <c r="AF30" i="9"/>
  <c r="AH30" i="9"/>
  <c r="AJ30" i="9"/>
  <c r="AL30" i="9"/>
  <c r="AF31" i="9"/>
  <c r="AH31" i="9"/>
  <c r="AJ31" i="9"/>
  <c r="AL31" i="9"/>
  <c r="AL8" i="9"/>
  <c r="AJ8" i="9"/>
  <c r="AI8" i="9" s="1"/>
  <c r="AH8" i="9"/>
  <c r="AG8" i="9" s="1"/>
  <c r="AF8" i="9"/>
  <c r="M29" i="10"/>
  <c r="D29" i="10"/>
  <c r="C29" i="10" s="1"/>
  <c r="B29" i="10"/>
  <c r="A29" i="10" s="1"/>
  <c r="M26" i="10"/>
  <c r="D26" i="10"/>
  <c r="C26" i="10" s="1"/>
  <c r="B26" i="10"/>
  <c r="A26" i="10" s="1"/>
  <c r="M22" i="10"/>
  <c r="D22" i="10"/>
  <c r="C22" i="10" s="1"/>
  <c r="B22" i="10"/>
  <c r="A22" i="10" s="1"/>
  <c r="M23" i="10"/>
  <c r="D23" i="10"/>
  <c r="C23" i="10" s="1"/>
  <c r="B23" i="10"/>
  <c r="A23" i="10" s="1"/>
  <c r="M27" i="10"/>
  <c r="D27" i="10"/>
  <c r="C27" i="10" s="1"/>
  <c r="B27" i="10"/>
  <c r="A27" i="10" s="1"/>
  <c r="M17" i="10"/>
  <c r="D17" i="10"/>
  <c r="C17" i="10" s="1"/>
  <c r="M16" i="10"/>
  <c r="D16" i="10"/>
  <c r="C16" i="10" s="1"/>
  <c r="B16" i="10"/>
  <c r="A16" i="10" s="1"/>
  <c r="M28" i="10"/>
  <c r="D28" i="10"/>
  <c r="C28" i="10" s="1"/>
  <c r="B28" i="10"/>
  <c r="A28" i="10" s="1"/>
  <c r="M25" i="10"/>
  <c r="D25" i="10"/>
  <c r="C25" i="10" s="1"/>
  <c r="M13" i="10"/>
  <c r="D13" i="10"/>
  <c r="C13" i="10" s="1"/>
  <c r="B13" i="10"/>
  <c r="A13" i="10" s="1"/>
  <c r="M20" i="10"/>
  <c r="D20" i="10"/>
  <c r="C20" i="10" s="1"/>
  <c r="B20" i="10"/>
  <c r="A20" i="10" s="1"/>
  <c r="M11" i="10"/>
  <c r="D11" i="10"/>
  <c r="C11" i="10" s="1"/>
  <c r="B11" i="10"/>
  <c r="A11" i="10" s="1"/>
  <c r="M24" i="10"/>
  <c r="D24" i="10"/>
  <c r="C24" i="10" s="1"/>
  <c r="B24" i="10"/>
  <c r="A24" i="10" s="1"/>
  <c r="M14" i="10"/>
  <c r="D14" i="10"/>
  <c r="C14" i="10" s="1"/>
  <c r="B14" i="10"/>
  <c r="A14" i="10" s="1"/>
  <c r="M21" i="10"/>
  <c r="D21" i="10"/>
  <c r="C21" i="10" s="1"/>
  <c r="B21" i="10"/>
  <c r="A21" i="10" s="1"/>
  <c r="M18" i="10"/>
  <c r="D18" i="10"/>
  <c r="C18" i="10" s="1"/>
  <c r="B18" i="10"/>
  <c r="A18" i="10" s="1"/>
  <c r="M8" i="10"/>
  <c r="D8" i="10"/>
  <c r="C8" i="10" s="1"/>
  <c r="B8" i="10"/>
  <c r="A8" i="10" s="1"/>
  <c r="M12" i="10"/>
  <c r="D12" i="10"/>
  <c r="C12" i="10" s="1"/>
  <c r="B12" i="10"/>
  <c r="A12" i="10" s="1"/>
  <c r="M15" i="10"/>
  <c r="D15" i="10"/>
  <c r="C15" i="10" s="1"/>
  <c r="B15" i="10"/>
  <c r="A15" i="10" s="1"/>
  <c r="M19" i="10"/>
  <c r="D19" i="10"/>
  <c r="C19" i="10" s="1"/>
  <c r="B19" i="10"/>
  <c r="A19" i="10" s="1"/>
  <c r="M10" i="10"/>
  <c r="D10" i="10"/>
  <c r="C10" i="10" s="1"/>
  <c r="B10" i="10"/>
  <c r="A10" i="10" s="1"/>
  <c r="M9" i="10"/>
  <c r="D9" i="10"/>
  <c r="C9" i="10" s="1"/>
  <c r="B9" i="10"/>
  <c r="A9" i="10" s="1"/>
  <c r="M7" i="10"/>
  <c r="D7" i="10"/>
  <c r="C7" i="10" s="1"/>
  <c r="B7" i="10"/>
  <c r="A7" i="10" s="1"/>
  <c r="Q4" i="10"/>
  <c r="P4" i="10"/>
  <c r="C323" i="9"/>
  <c r="C322" i="9"/>
  <c r="C321" i="9"/>
  <c r="C320" i="9"/>
  <c r="C319" i="9"/>
  <c r="C318" i="9"/>
  <c r="C317" i="9"/>
  <c r="C316" i="9"/>
  <c r="C315" i="9"/>
  <c r="C314" i="9"/>
  <c r="C313" i="9"/>
  <c r="C312" i="9"/>
  <c r="C311" i="9"/>
  <c r="C310" i="9"/>
  <c r="C309" i="9"/>
  <c r="C308" i="9"/>
  <c r="C307" i="9"/>
  <c r="C306" i="9"/>
  <c r="C305" i="9"/>
  <c r="C304" i="9"/>
  <c r="C303" i="9"/>
  <c r="C302" i="9"/>
  <c r="C301" i="9"/>
  <c r="C300" i="9"/>
  <c r="AA31" i="9"/>
  <c r="Y31" i="9"/>
  <c r="AB31" i="9" s="1"/>
  <c r="W31" i="9"/>
  <c r="AA30" i="9"/>
  <c r="Y30" i="9"/>
  <c r="AB30" i="9" s="1"/>
  <c r="W30" i="9"/>
  <c r="AA29" i="9"/>
  <c r="Y29" i="9"/>
  <c r="AB29" i="9" s="1"/>
  <c r="W29" i="9"/>
  <c r="AA28" i="9"/>
  <c r="Y28" i="9"/>
  <c r="AB28" i="9" s="1"/>
  <c r="W28" i="9"/>
  <c r="AA27" i="9"/>
  <c r="Y27" i="9"/>
  <c r="AB27" i="9" s="1"/>
  <c r="W27" i="9"/>
  <c r="AA26" i="9"/>
  <c r="Y26" i="9"/>
  <c r="AB26" i="9" s="1"/>
  <c r="W26" i="9"/>
  <c r="AA25" i="9"/>
  <c r="Y25" i="9"/>
  <c r="AB25" i="9" s="1"/>
  <c r="W25" i="9"/>
  <c r="AA24" i="9"/>
  <c r="Y24" i="9"/>
  <c r="AB24" i="9" s="1"/>
  <c r="W24" i="9"/>
  <c r="AA23" i="9"/>
  <c r="Y23" i="9"/>
  <c r="AB23" i="9" s="1"/>
  <c r="W23" i="9"/>
  <c r="AA22" i="9"/>
  <c r="Y22" i="9"/>
  <c r="AB22" i="9" s="1"/>
  <c r="W22" i="9"/>
  <c r="AA21" i="9"/>
  <c r="Y21" i="9"/>
  <c r="AB21" i="9" s="1"/>
  <c r="W21" i="9"/>
  <c r="AA20" i="9"/>
  <c r="Y20" i="9"/>
  <c r="AB20" i="9" s="1"/>
  <c r="W20" i="9"/>
  <c r="AA19" i="9"/>
  <c r="Y19" i="9"/>
  <c r="AB19" i="9" s="1"/>
  <c r="W19" i="9"/>
  <c r="AA18" i="9"/>
  <c r="Y18" i="9"/>
  <c r="AB18" i="9" s="1"/>
  <c r="W18" i="9"/>
  <c r="AA17" i="9"/>
  <c r="Y17" i="9"/>
  <c r="AB17" i="9" s="1"/>
  <c r="W17" i="9"/>
  <c r="AA16" i="9"/>
  <c r="Y16" i="9"/>
  <c r="AB16" i="9" s="1"/>
  <c r="W16" i="9"/>
  <c r="AA15" i="9"/>
  <c r="Y15" i="9"/>
  <c r="W15" i="9"/>
  <c r="AA14" i="9"/>
  <c r="Y14" i="9"/>
  <c r="AB14" i="9" s="1"/>
  <c r="W14" i="9"/>
  <c r="AA13" i="9"/>
  <c r="Y13" i="9"/>
  <c r="W13" i="9"/>
  <c r="AA12" i="9"/>
  <c r="Y12" i="9"/>
  <c r="AB12" i="9" s="1"/>
  <c r="W12" i="9"/>
  <c r="AA11" i="9"/>
  <c r="Y11" i="9"/>
  <c r="AB11" i="9" s="1"/>
  <c r="W11" i="9"/>
  <c r="AA10" i="9"/>
  <c r="Y10" i="9"/>
  <c r="AB10" i="9" s="1"/>
  <c r="W10" i="9"/>
  <c r="AA9" i="9"/>
  <c r="Y9" i="9"/>
  <c r="AB9" i="9" s="1"/>
  <c r="W9" i="9"/>
  <c r="AA8" i="9"/>
  <c r="Y8" i="9"/>
  <c r="AB8" i="9" s="1"/>
  <c r="W8" i="9"/>
  <c r="Q59" i="5"/>
  <c r="P59" i="5"/>
  <c r="O59" i="5"/>
  <c r="M59" i="5"/>
  <c r="V28" i="5"/>
  <c r="N28" i="5"/>
  <c r="V37" i="5"/>
  <c r="N37" i="5"/>
  <c r="V47" i="5"/>
  <c r="V29" i="5"/>
  <c r="N29" i="5"/>
  <c r="V27" i="5"/>
  <c r="N27" i="5"/>
  <c r="V42" i="5"/>
  <c r="N42" i="5"/>
  <c r="V43" i="5"/>
  <c r="V53" i="5"/>
  <c r="N53" i="5"/>
  <c r="V38" i="5"/>
  <c r="N38" i="5"/>
  <c r="V55" i="5"/>
  <c r="V35" i="5"/>
  <c r="V54" i="5"/>
  <c r="N54" i="5"/>
  <c r="V21" i="5"/>
  <c r="V40" i="5"/>
  <c r="N40" i="5"/>
  <c r="V39" i="5"/>
  <c r="N39" i="5"/>
  <c r="V41" i="5"/>
  <c r="N41" i="5"/>
  <c r="V9" i="5"/>
  <c r="V8" i="5"/>
  <c r="N8" i="5"/>
  <c r="V31" i="5"/>
  <c r="N31" i="5"/>
  <c r="V16" i="5"/>
  <c r="N16" i="5"/>
  <c r="V34" i="5"/>
  <c r="N34" i="5"/>
  <c r="V12" i="5"/>
  <c r="V24" i="5"/>
  <c r="N24" i="5"/>
  <c r="V48" i="5"/>
  <c r="V56" i="5"/>
  <c r="N56" i="5"/>
  <c r="V33" i="5"/>
  <c r="N33" i="5"/>
  <c r="V10" i="5"/>
  <c r="N10" i="5"/>
  <c r="V15" i="5"/>
  <c r="N15" i="5"/>
  <c r="V25" i="5"/>
  <c r="N25" i="5"/>
  <c r="V26" i="5"/>
  <c r="N26" i="5"/>
  <c r="V19" i="5"/>
  <c r="N19" i="5"/>
  <c r="V14" i="5"/>
  <c r="N14" i="5"/>
  <c r="V23" i="5"/>
  <c r="N23" i="5"/>
  <c r="V11" i="5"/>
  <c r="V22" i="5"/>
  <c r="V30" i="5"/>
  <c r="N30" i="5"/>
  <c r="V7" i="5"/>
  <c r="N7" i="5"/>
  <c r="V13" i="5"/>
  <c r="N13" i="5"/>
  <c r="V36" i="5"/>
  <c r="V17" i="5"/>
  <c r="N17" i="5"/>
  <c r="N59" i="5" s="1"/>
  <c r="AM6" i="5"/>
  <c r="AI6" i="5"/>
  <c r="AH6" i="5"/>
  <c r="AG6" i="5"/>
  <c r="AF6" i="5"/>
  <c r="AE6" i="5"/>
  <c r="AD6" i="5"/>
  <c r="AC6" i="5"/>
  <c r="AB6" i="5"/>
  <c r="AA6" i="5"/>
  <c r="Z6" i="5"/>
  <c r="AM4" i="5"/>
  <c r="AC4" i="5"/>
  <c r="AB4" i="5"/>
  <c r="AA4" i="5"/>
  <c r="Z4" i="5"/>
  <c r="M29" i="4"/>
  <c r="D29" i="4"/>
  <c r="C29" i="4" s="1"/>
  <c r="M55" i="4"/>
  <c r="D55" i="4"/>
  <c r="C55" i="4" s="1"/>
  <c r="M60" i="4"/>
  <c r="D60" i="4"/>
  <c r="C60" i="4" s="1"/>
  <c r="B60" i="4"/>
  <c r="A60" i="4" s="1"/>
  <c r="M24" i="4"/>
  <c r="D24" i="4"/>
  <c r="C24" i="4" s="1"/>
  <c r="B24" i="4"/>
  <c r="A24" i="4" s="1"/>
  <c r="M57" i="4"/>
  <c r="D57" i="4"/>
  <c r="C57" i="4" s="1"/>
  <c r="B57" i="4"/>
  <c r="A57" i="4" s="1"/>
  <c r="M44" i="4"/>
  <c r="D44" i="4"/>
  <c r="C44" i="4" s="1"/>
  <c r="B44" i="4"/>
  <c r="A44" i="4" s="1"/>
  <c r="M40" i="4"/>
  <c r="D40" i="4"/>
  <c r="C40" i="4" s="1"/>
  <c r="M45" i="4"/>
  <c r="D45" i="4"/>
  <c r="C45" i="4" s="1"/>
  <c r="B45" i="4"/>
  <c r="A45" i="4" s="1"/>
  <c r="M30" i="4"/>
  <c r="D30" i="4"/>
  <c r="C30" i="4" s="1"/>
  <c r="B30" i="4"/>
  <c r="A30" i="4" s="1"/>
  <c r="M42" i="4"/>
  <c r="D42" i="4"/>
  <c r="C42" i="4" s="1"/>
  <c r="B42" i="4"/>
  <c r="A42" i="4" s="1"/>
  <c r="M36" i="4"/>
  <c r="D36" i="4"/>
  <c r="C36" i="4" s="1"/>
  <c r="B36" i="4"/>
  <c r="A36" i="4" s="1"/>
  <c r="M41" i="4"/>
  <c r="D41" i="4"/>
  <c r="C41" i="4" s="1"/>
  <c r="B41" i="4"/>
  <c r="A41" i="4" s="1"/>
  <c r="M21" i="4"/>
  <c r="D21" i="4"/>
  <c r="C21" i="4" s="1"/>
  <c r="B21" i="4"/>
  <c r="A21" i="4" s="1"/>
  <c r="M61" i="4"/>
  <c r="D61" i="4"/>
  <c r="C61" i="4" s="1"/>
  <c r="M35" i="4"/>
  <c r="D35" i="4"/>
  <c r="C35" i="4" s="1"/>
  <c r="B35" i="4"/>
  <c r="A35" i="4" s="1"/>
  <c r="M28" i="4"/>
  <c r="D28" i="4"/>
  <c r="C28" i="4" s="1"/>
  <c r="B28" i="4"/>
  <c r="A28" i="4" s="1"/>
  <c r="M26" i="4"/>
  <c r="D26" i="4"/>
  <c r="C26" i="4" s="1"/>
  <c r="M34" i="4"/>
  <c r="D34" i="4"/>
  <c r="C34" i="4" s="1"/>
  <c r="B34" i="4"/>
  <c r="A34" i="4" s="1"/>
  <c r="M16" i="4"/>
  <c r="B16" i="4"/>
  <c r="A16" i="4" s="1"/>
  <c r="M59" i="4"/>
  <c r="D59" i="4"/>
  <c r="C59" i="4" s="1"/>
  <c r="B59" i="4"/>
  <c r="A59" i="4" s="1"/>
  <c r="M58" i="4"/>
  <c r="D58" i="4"/>
  <c r="C58" i="4" s="1"/>
  <c r="B58" i="4"/>
  <c r="A58" i="4" s="1"/>
  <c r="M47" i="4"/>
  <c r="D47" i="4"/>
  <c r="C47" i="4" s="1"/>
  <c r="M54" i="4"/>
  <c r="D54" i="4"/>
  <c r="C54" i="4" s="1"/>
  <c r="B54" i="4"/>
  <c r="A54" i="4" s="1"/>
  <c r="M39" i="4"/>
  <c r="D39" i="4"/>
  <c r="C39" i="4" s="1"/>
  <c r="B39" i="4"/>
  <c r="A39" i="4" s="1"/>
  <c r="M38" i="4"/>
  <c r="D38" i="4"/>
  <c r="C38" i="4" s="1"/>
  <c r="B38" i="4"/>
  <c r="A38" i="4" s="1"/>
  <c r="M50" i="4"/>
  <c r="D50" i="4"/>
  <c r="C50" i="4" s="1"/>
  <c r="B50" i="4"/>
  <c r="A50" i="4" s="1"/>
  <c r="M33" i="4"/>
  <c r="D33" i="4"/>
  <c r="C33" i="4" s="1"/>
  <c r="M37" i="4"/>
  <c r="D37" i="4"/>
  <c r="C37" i="4" s="1"/>
  <c r="B37" i="4"/>
  <c r="A37" i="4" s="1"/>
  <c r="M10" i="4"/>
  <c r="B10" i="4"/>
  <c r="A10" i="4" s="1"/>
  <c r="M18" i="4"/>
  <c r="D18" i="4"/>
  <c r="C18" i="4" s="1"/>
  <c r="B18" i="4"/>
  <c r="A18" i="4" s="1"/>
  <c r="M32" i="4"/>
  <c r="D32" i="4"/>
  <c r="C32" i="4" s="1"/>
  <c r="B32" i="4"/>
  <c r="A32" i="4" s="1"/>
  <c r="M27" i="4"/>
  <c r="D27" i="4"/>
  <c r="C27" i="4" s="1"/>
  <c r="B27" i="4"/>
  <c r="A27" i="4" s="1"/>
  <c r="M17" i="4"/>
  <c r="D17" i="4"/>
  <c r="C17" i="4" s="1"/>
  <c r="M22" i="4"/>
  <c r="D22" i="4"/>
  <c r="C22" i="4" s="1"/>
  <c r="B22" i="4"/>
  <c r="A22" i="4" s="1"/>
  <c r="M20" i="4"/>
  <c r="D20" i="4"/>
  <c r="C20" i="4" s="1"/>
  <c r="B20" i="4"/>
  <c r="A20" i="4" s="1"/>
  <c r="M14" i="4"/>
  <c r="D14" i="4"/>
  <c r="C14" i="4" s="1"/>
  <c r="B14" i="4"/>
  <c r="A14" i="4" s="1"/>
  <c r="M25" i="4"/>
  <c r="D25" i="4"/>
  <c r="C25" i="4" s="1"/>
  <c r="B25" i="4"/>
  <c r="A25" i="4" s="1"/>
  <c r="M19" i="4"/>
  <c r="D19" i="4"/>
  <c r="C19" i="4" s="1"/>
  <c r="B19" i="4"/>
  <c r="A19" i="4" s="1"/>
  <c r="M11" i="4"/>
  <c r="D11" i="4"/>
  <c r="C11" i="4" s="1"/>
  <c r="B11" i="4"/>
  <c r="A11" i="4" s="1"/>
  <c r="M23" i="4"/>
  <c r="D23" i="4"/>
  <c r="C23" i="4" s="1"/>
  <c r="B23" i="4"/>
  <c r="A23" i="4" s="1"/>
  <c r="M15" i="4"/>
  <c r="D15" i="4"/>
  <c r="C15" i="4" s="1"/>
  <c r="B15" i="4"/>
  <c r="A15" i="4" s="1"/>
  <c r="M8" i="4"/>
  <c r="D8" i="4"/>
  <c r="C8" i="4" s="1"/>
  <c r="B8" i="4"/>
  <c r="A8" i="4" s="1"/>
  <c r="M13" i="4"/>
  <c r="D13" i="4"/>
  <c r="C13" i="4" s="1"/>
  <c r="B13" i="4"/>
  <c r="A13" i="4" s="1"/>
  <c r="M9" i="4"/>
  <c r="D9" i="4"/>
  <c r="C9" i="4" s="1"/>
  <c r="B9" i="4"/>
  <c r="A9" i="4" s="1"/>
  <c r="M12" i="4"/>
  <c r="D12" i="4"/>
  <c r="C12" i="4" s="1"/>
  <c r="B12" i="4"/>
  <c r="A12" i="4" s="1"/>
  <c r="N135" i="3"/>
  <c r="L88" i="3"/>
  <c r="K88" i="3"/>
  <c r="N77" i="3"/>
  <c r="K75" i="3"/>
  <c r="K21" i="3"/>
  <c r="J1" i="3"/>
  <c r="E44" i="2"/>
  <c r="A3" i="19"/>
  <c r="A1" i="19"/>
  <c r="F35" i="2"/>
  <c r="A3" i="18" s="1"/>
  <c r="A1" i="18"/>
  <c r="F32" i="2"/>
  <c r="A3" i="17" s="1"/>
  <c r="A1" i="17"/>
  <c r="F31" i="2"/>
  <c r="F27" i="2"/>
  <c r="A3" i="16" s="1"/>
  <c r="A1" i="16"/>
  <c r="F28" i="2"/>
  <c r="F25" i="2"/>
  <c r="A3" i="15" s="1"/>
  <c r="A1" i="15"/>
  <c r="F26" i="2"/>
  <c r="F23" i="2"/>
  <c r="A3" i="14" s="1"/>
  <c r="A1" i="14"/>
  <c r="F19" i="2"/>
  <c r="A3" i="28" s="1"/>
  <c r="A1" i="28"/>
  <c r="F7" i="2"/>
  <c r="F22" i="2"/>
  <c r="F20" i="2"/>
  <c r="F17" i="2"/>
  <c r="A3" i="13" s="1"/>
  <c r="A1" i="13"/>
  <c r="F15" i="2"/>
  <c r="F29" i="2"/>
  <c r="F14" i="2"/>
  <c r="F12" i="2"/>
  <c r="A3" i="12" s="1"/>
  <c r="A1" i="12"/>
  <c r="F21" i="2"/>
  <c r="F8" i="2"/>
  <c r="A3" i="11" s="1"/>
  <c r="A1" i="11"/>
  <c r="F13" i="2"/>
  <c r="F5" i="2"/>
  <c r="A3" i="20" s="1"/>
  <c r="A1" i="20"/>
  <c r="F6" i="2"/>
  <c r="F1" i="2"/>
  <c r="AZ46" i="5" l="1"/>
  <c r="AZ44" i="5"/>
  <c r="AZ45" i="5"/>
  <c r="AZ49" i="5"/>
  <c r="AZ58" i="5"/>
  <c r="AZ57" i="5"/>
  <c r="BB46" i="5"/>
  <c r="BB44" i="5"/>
  <c r="BB45" i="5"/>
  <c r="BB49" i="5"/>
  <c r="BB58" i="5"/>
  <c r="BB57" i="5"/>
  <c r="BD46" i="5"/>
  <c r="BD44" i="5"/>
  <c r="BD45" i="5"/>
  <c r="BD49" i="5"/>
  <c r="BD58" i="5"/>
  <c r="BD57" i="5"/>
  <c r="AY57" i="5"/>
  <c r="AY58" i="5"/>
  <c r="AY49" i="5"/>
  <c r="AY45" i="5"/>
  <c r="AY44" i="5"/>
  <c r="AY46" i="5"/>
  <c r="BA57" i="5"/>
  <c r="BA58" i="5"/>
  <c r="BA49" i="5"/>
  <c r="BA45" i="5"/>
  <c r="BA44" i="5"/>
  <c r="BA46" i="5"/>
  <c r="BC57" i="5"/>
  <c r="BC58" i="5"/>
  <c r="BC49" i="5"/>
  <c r="BC45" i="5"/>
  <c r="BC44" i="5"/>
  <c r="BC46" i="5"/>
  <c r="BG57" i="5"/>
  <c r="BG58" i="5"/>
  <c r="BG49" i="5"/>
  <c r="BG45" i="5"/>
  <c r="BG44" i="5"/>
  <c r="BG46" i="5"/>
  <c r="AE8" i="9"/>
  <c r="AD8" i="9" s="1"/>
  <c r="B318" i="32"/>
  <c r="B320" i="32"/>
  <c r="B319" i="32"/>
  <c r="B307" i="20"/>
  <c r="B305" i="20"/>
  <c r="B303" i="20"/>
  <c r="B301" i="20"/>
  <c r="B306" i="20"/>
  <c r="B302" i="20"/>
  <c r="B308" i="20"/>
  <c r="B304" i="20"/>
  <c r="B300" i="20"/>
  <c r="B308" i="11"/>
  <c r="B306" i="11"/>
  <c r="B304" i="11"/>
  <c r="B302" i="11"/>
  <c r="B300" i="11"/>
  <c r="B309" i="11"/>
  <c r="B305" i="11"/>
  <c r="B301" i="11"/>
  <c r="B307" i="11"/>
  <c r="B303" i="11"/>
  <c r="B308" i="12"/>
  <c r="B306" i="12"/>
  <c r="B304" i="12"/>
  <c r="B302" i="12"/>
  <c r="B300" i="12"/>
  <c r="B307" i="12"/>
  <c r="B303" i="12"/>
  <c r="B309" i="12"/>
  <c r="B305" i="12"/>
  <c r="B301" i="12"/>
  <c r="B309" i="13"/>
  <c r="B307" i="13"/>
  <c r="B305" i="13"/>
  <c r="B303" i="13"/>
  <c r="B301" i="13"/>
  <c r="B308" i="13"/>
  <c r="B304" i="13"/>
  <c r="B300" i="13"/>
  <c r="B306" i="13"/>
  <c r="B302" i="13"/>
  <c r="B303" i="32"/>
  <c r="B307" i="32"/>
  <c r="B311" i="32"/>
  <c r="B315" i="32"/>
  <c r="B300" i="32"/>
  <c r="B304" i="32"/>
  <c r="B308" i="32"/>
  <c r="B312" i="32"/>
  <c r="B316" i="32"/>
  <c r="B305" i="32"/>
  <c r="B313" i="32"/>
  <c r="B302" i="32"/>
  <c r="B310" i="32"/>
  <c r="B301" i="32"/>
  <c r="B309" i="32"/>
  <c r="B317" i="32"/>
  <c r="B306" i="32"/>
  <c r="B314" i="32"/>
  <c r="B308" i="14"/>
  <c r="B306" i="14"/>
  <c r="B304" i="14"/>
  <c r="B302" i="14"/>
  <c r="B300" i="14"/>
  <c r="B309" i="14"/>
  <c r="B307" i="14"/>
  <c r="B303" i="14"/>
  <c r="B305" i="14"/>
  <c r="B301" i="14"/>
  <c r="B313" i="15"/>
  <c r="B311" i="15"/>
  <c r="B301" i="15"/>
  <c r="B303" i="15"/>
  <c r="B305" i="15"/>
  <c r="B307" i="15"/>
  <c r="B309" i="15"/>
  <c r="B312" i="15"/>
  <c r="B300" i="15"/>
  <c r="B302" i="15"/>
  <c r="B304" i="15"/>
  <c r="B306" i="15"/>
  <c r="B308" i="15"/>
  <c r="B310" i="15"/>
  <c r="B311" i="16"/>
  <c r="B309" i="16"/>
  <c r="B307" i="16"/>
  <c r="B305" i="16"/>
  <c r="B303" i="16"/>
  <c r="B301" i="16"/>
  <c r="B310" i="16"/>
  <c r="B308" i="16"/>
  <c r="B306" i="16"/>
  <c r="B304" i="16"/>
  <c r="B302" i="16"/>
  <c r="B300" i="16"/>
  <c r="B309" i="17"/>
  <c r="B307" i="17"/>
  <c r="B305" i="17"/>
  <c r="B303" i="17"/>
  <c r="B301" i="17"/>
  <c r="B308" i="17"/>
  <c r="B306" i="17"/>
  <c r="B304" i="17"/>
  <c r="B302" i="17"/>
  <c r="B300" i="17"/>
  <c r="B304" i="18"/>
  <c r="B302" i="18"/>
  <c r="B300" i="18"/>
  <c r="B303" i="18"/>
  <c r="B301" i="18"/>
  <c r="B300" i="19"/>
  <c r="B302" i="19"/>
  <c r="B304" i="19"/>
  <c r="B301" i="19"/>
  <c r="B305" i="19"/>
  <c r="B307" i="19"/>
  <c r="B309" i="19"/>
  <c r="B303" i="19"/>
  <c r="B306" i="19"/>
  <c r="B308" i="19"/>
  <c r="B310" i="19"/>
  <c r="P63" i="4"/>
  <c r="I6" i="2" s="1"/>
  <c r="R63" i="4"/>
  <c r="I9" i="2" s="1"/>
  <c r="T63" i="4"/>
  <c r="AD30" i="9"/>
  <c r="AD28" i="9"/>
  <c r="AD26" i="9"/>
  <c r="AD24" i="9"/>
  <c r="AD22" i="9"/>
  <c r="AD20" i="9"/>
  <c r="AD18" i="9"/>
  <c r="AD16" i="9"/>
  <c r="AD14" i="9"/>
  <c r="AD12" i="9"/>
  <c r="AD10" i="9"/>
  <c r="AM59" i="5"/>
  <c r="AD31" i="9"/>
  <c r="AD29" i="9"/>
  <c r="AD27" i="9"/>
  <c r="AD25" i="9"/>
  <c r="AD23" i="9"/>
  <c r="AD21" i="9"/>
  <c r="AD19" i="9"/>
  <c r="AD17" i="9"/>
  <c r="AD15" i="9"/>
  <c r="AD13" i="9"/>
  <c r="AD11" i="9"/>
  <c r="AD9" i="9"/>
  <c r="P31" i="10"/>
  <c r="B323" i="9"/>
  <c r="B322" i="9"/>
  <c r="B321" i="9"/>
  <c r="B320" i="9"/>
  <c r="B319" i="9"/>
  <c r="B318" i="9"/>
  <c r="B317" i="9"/>
  <c r="B316" i="9"/>
  <c r="B315" i="9"/>
  <c r="B314" i="9"/>
  <c r="B313" i="9"/>
  <c r="B312" i="9"/>
  <c r="B311" i="9"/>
  <c r="B310" i="9"/>
  <c r="B309" i="9"/>
  <c r="B308" i="9"/>
  <c r="B307" i="9"/>
  <c r="B306" i="9"/>
  <c r="B305" i="9"/>
  <c r="B304" i="9"/>
  <c r="B303" i="9"/>
  <c r="B302" i="9"/>
  <c r="B301" i="9"/>
  <c r="B300" i="9"/>
  <c r="AB13" i="9"/>
  <c r="AB15" i="9"/>
  <c r="Y63" i="4"/>
  <c r="Y64" i="4" s="1"/>
  <c r="AG36" i="5" l="1"/>
  <c r="AG13" i="5"/>
  <c r="AG7" i="5"/>
  <c r="AG30" i="5"/>
  <c r="AG11" i="5"/>
  <c r="AG14" i="5"/>
  <c r="AG26" i="5"/>
  <c r="AG25" i="5"/>
  <c r="AG10" i="5"/>
  <c r="AG56" i="5"/>
  <c r="AG24" i="5"/>
  <c r="AG34" i="5"/>
  <c r="AG31" i="5"/>
  <c r="AG9" i="5"/>
  <c r="AG39" i="5"/>
  <c r="AG35" i="5"/>
  <c r="AG55" i="5"/>
  <c r="AG38" i="5"/>
  <c r="AG42" i="5"/>
  <c r="AG27" i="5"/>
  <c r="AG47" i="5"/>
  <c r="AG18" i="5"/>
  <c r="AG32" i="5"/>
  <c r="AG51" i="5"/>
  <c r="AG46" i="5"/>
  <c r="AG45" i="5"/>
  <c r="AG58" i="5"/>
  <c r="AG28" i="5"/>
  <c r="AG17" i="5"/>
  <c r="AG22" i="5"/>
  <c r="AG23" i="5"/>
  <c r="AG19" i="5"/>
  <c r="AG15" i="5"/>
  <c r="AG33" i="5"/>
  <c r="AG48" i="5"/>
  <c r="AG12" i="5"/>
  <c r="AG16" i="5"/>
  <c r="AG8" i="5"/>
  <c r="AG41" i="5"/>
  <c r="AG40" i="5"/>
  <c r="AG21" i="5"/>
  <c r="AG54" i="5"/>
  <c r="AG53" i="5"/>
  <c r="AG43" i="5"/>
  <c r="AG29" i="5"/>
  <c r="AG20" i="5"/>
  <c r="AG50" i="5"/>
  <c r="AG52" i="5"/>
  <c r="AG44" i="5"/>
  <c r="AG49" i="5"/>
  <c r="AG57" i="5"/>
  <c r="AG37" i="5"/>
  <c r="BE37" i="5" s="1"/>
  <c r="Z36" i="5"/>
  <c r="Z13" i="5"/>
  <c r="Z7" i="5"/>
  <c r="Z30" i="5"/>
  <c r="Z22" i="5"/>
  <c r="Z11" i="5"/>
  <c r="Z23" i="5"/>
  <c r="Z14" i="5"/>
  <c r="Z19" i="5"/>
  <c r="Z26" i="5"/>
  <c r="Z25" i="5"/>
  <c r="Z15" i="5"/>
  <c r="Z10" i="5"/>
  <c r="Z33" i="5"/>
  <c r="Z56" i="5"/>
  <c r="Z48" i="5"/>
  <c r="Z24" i="5"/>
  <c r="Z12" i="5"/>
  <c r="Z34" i="5"/>
  <c r="Z16" i="5"/>
  <c r="Z31" i="5"/>
  <c r="Z8" i="5"/>
  <c r="Z9" i="5"/>
  <c r="Z41" i="5"/>
  <c r="Z39" i="5"/>
  <c r="Z40" i="5"/>
  <c r="Z21" i="5"/>
  <c r="Z54" i="5"/>
  <c r="Z35" i="5"/>
  <c r="Z55" i="5"/>
  <c r="Z38" i="5"/>
  <c r="Z53" i="5"/>
  <c r="Z43" i="5"/>
  <c r="Z42" i="5"/>
  <c r="Z17" i="5"/>
  <c r="Z27" i="5"/>
  <c r="Z29" i="5"/>
  <c r="Z47" i="5"/>
  <c r="Z18" i="5"/>
  <c r="AX18" i="5" s="1"/>
  <c r="Z20" i="5"/>
  <c r="AX20" i="5" s="1"/>
  <c r="Z32" i="5"/>
  <c r="AX32" i="5" s="1"/>
  <c r="Z50" i="5"/>
  <c r="AX50" i="5" s="1"/>
  <c r="Z51" i="5"/>
  <c r="AX51" i="5" s="1"/>
  <c r="Z52" i="5"/>
  <c r="AX52" i="5" s="1"/>
  <c r="Z46" i="5"/>
  <c r="AX46" i="5" s="1"/>
  <c r="Z44" i="5"/>
  <c r="AX44" i="5" s="1"/>
  <c r="Z45" i="5"/>
  <c r="AX45" i="5" s="1"/>
  <c r="Z49" i="5"/>
  <c r="AX49" i="5" s="1"/>
  <c r="Z58" i="5"/>
  <c r="AX58" i="5" s="1"/>
  <c r="Z57" i="5"/>
  <c r="AX57" i="5" s="1"/>
  <c r="Z37" i="5"/>
  <c r="Z28" i="5"/>
  <c r="BF46" i="5"/>
  <c r="BF44" i="5"/>
  <c r="BF45" i="5"/>
  <c r="BF49" i="5"/>
  <c r="BF58" i="5"/>
  <c r="BF57" i="5"/>
  <c r="BF18" i="5"/>
  <c r="BF20" i="5"/>
  <c r="BF32" i="5"/>
  <c r="BF50" i="5"/>
  <c r="BF51" i="5"/>
  <c r="BF52" i="5"/>
  <c r="BE18" i="5"/>
  <c r="BE20" i="5"/>
  <c r="BE32" i="5"/>
  <c r="BE52" i="5"/>
  <c r="BE50" i="5"/>
  <c r="BE51" i="5"/>
  <c r="BD18" i="5"/>
  <c r="BD20" i="5"/>
  <c r="BD32" i="5"/>
  <c r="BD50" i="5"/>
  <c r="BD51" i="5"/>
  <c r="BD52" i="5"/>
  <c r="BC18" i="5"/>
  <c r="BC20" i="5"/>
  <c r="BC32" i="5"/>
  <c r="BC50" i="5"/>
  <c r="BC51" i="5"/>
  <c r="BC52" i="5"/>
  <c r="BB18" i="5"/>
  <c r="BB20" i="5"/>
  <c r="BB32" i="5"/>
  <c r="BB50" i="5"/>
  <c r="BB51" i="5"/>
  <c r="BB52" i="5"/>
  <c r="BA18" i="5"/>
  <c r="BA20" i="5"/>
  <c r="BA32" i="5"/>
  <c r="BA50" i="5"/>
  <c r="BA51" i="5"/>
  <c r="BA52" i="5"/>
  <c r="BG18" i="5"/>
  <c r="BG20" i="5"/>
  <c r="BG32" i="5"/>
  <c r="BG50" i="5"/>
  <c r="BG51" i="5"/>
  <c r="BG52" i="5"/>
  <c r="AZ18" i="5"/>
  <c r="AZ20" i="5"/>
  <c r="AZ32" i="5"/>
  <c r="AZ50" i="5"/>
  <c r="AZ51" i="5"/>
  <c r="AZ52" i="5"/>
  <c r="U8" i="4"/>
  <c r="I8" i="4" s="1" a="1"/>
  <c r="I8" i="4" s="1"/>
  <c r="U12" i="4"/>
  <c r="U9" i="4"/>
  <c r="U13" i="4"/>
  <c r="U14" i="4"/>
  <c r="U10" i="4"/>
  <c r="U15" i="4"/>
  <c r="U11" i="4"/>
  <c r="U16" i="4"/>
  <c r="U17" i="4"/>
  <c r="U20" i="4"/>
  <c r="U22" i="4"/>
  <c r="U19" i="4"/>
  <c r="U23" i="4"/>
  <c r="U18" i="4"/>
  <c r="U21" i="4"/>
  <c r="U24" i="4"/>
  <c r="U26" i="4"/>
  <c r="U25" i="4"/>
  <c r="U27" i="4"/>
  <c r="U28" i="4"/>
  <c r="U29" i="4"/>
  <c r="U31" i="4"/>
  <c r="U34" i="4"/>
  <c r="U33" i="4"/>
  <c r="U35" i="4"/>
  <c r="U36" i="4"/>
  <c r="U37" i="4"/>
  <c r="U30" i="4"/>
  <c r="U32" i="4"/>
  <c r="U39" i="4"/>
  <c r="U38" i="4"/>
  <c r="U45" i="4"/>
  <c r="U40" i="4"/>
  <c r="U43" i="4"/>
  <c r="U41" i="4"/>
  <c r="U44" i="4"/>
  <c r="U42" i="4"/>
  <c r="U47" i="4"/>
  <c r="U48" i="4"/>
  <c r="U49" i="4"/>
  <c r="U50" i="4"/>
  <c r="U51" i="4"/>
  <c r="U52" i="4"/>
  <c r="U54" i="4"/>
  <c r="U55" i="4"/>
  <c r="U46" i="4"/>
  <c r="U53" i="4"/>
  <c r="U57" i="4"/>
  <c r="U58" i="4"/>
  <c r="U59" i="4"/>
  <c r="U61" i="4"/>
  <c r="U60" i="4"/>
  <c r="U62" i="4"/>
  <c r="U56" i="4"/>
  <c r="AF8" i="4"/>
  <c r="R7" i="10"/>
  <c r="R9" i="10"/>
  <c r="I9" i="10" s="1"/>
  <c r="R11" i="10"/>
  <c r="I11" i="10" s="1"/>
  <c r="R13" i="10"/>
  <c r="I13" i="10" s="1"/>
  <c r="R15" i="10"/>
  <c r="I15" i="10" s="1"/>
  <c r="R17" i="10"/>
  <c r="I17" i="10" s="1"/>
  <c r="R19" i="10"/>
  <c r="I19" i="10" s="1"/>
  <c r="R21" i="10"/>
  <c r="I21" i="10" s="1"/>
  <c r="R23" i="10"/>
  <c r="I23" i="10" s="1"/>
  <c r="R25" i="10"/>
  <c r="I25" i="10" s="1"/>
  <c r="R27" i="10"/>
  <c r="I27" i="10" s="1"/>
  <c r="R29" i="10"/>
  <c r="I29" i="10" s="1"/>
  <c r="R8" i="10"/>
  <c r="I8" i="10" s="1"/>
  <c r="R10" i="10"/>
  <c r="I10" i="10" s="1"/>
  <c r="R12" i="10"/>
  <c r="I12" i="10" s="1"/>
  <c r="R14" i="10"/>
  <c r="I14" i="10" s="1"/>
  <c r="R16" i="10"/>
  <c r="I16" i="10" s="1"/>
  <c r="R18" i="10"/>
  <c r="I18" i="10" s="1"/>
  <c r="R20" i="10"/>
  <c r="I20" i="10" s="1"/>
  <c r="R22" i="10"/>
  <c r="I22" i="10" s="1"/>
  <c r="R24" i="10"/>
  <c r="I24" i="10" s="1"/>
  <c r="R26" i="10"/>
  <c r="I26" i="10" s="1"/>
  <c r="R28" i="10"/>
  <c r="I28" i="10" s="1"/>
  <c r="I13" i="2"/>
  <c r="T64" i="4"/>
  <c r="BG22" i="5"/>
  <c r="BG19" i="5"/>
  <c r="BG15" i="5"/>
  <c r="BG48" i="5"/>
  <c r="BG8" i="5"/>
  <c r="BG40" i="5"/>
  <c r="BG36" i="5"/>
  <c r="BG7" i="5"/>
  <c r="BG11" i="5"/>
  <c r="BG26" i="5"/>
  <c r="BG10" i="5"/>
  <c r="BG24" i="5"/>
  <c r="BG34" i="5"/>
  <c r="BG9" i="5"/>
  <c r="BG55" i="5"/>
  <c r="BG23" i="5"/>
  <c r="BG33" i="5"/>
  <c r="BG16" i="5"/>
  <c r="BG21" i="5"/>
  <c r="BG13" i="5"/>
  <c r="BG14" i="5"/>
  <c r="BG56" i="5"/>
  <c r="BG31" i="5"/>
  <c r="BG53" i="5"/>
  <c r="BG38" i="5"/>
  <c r="BG42" i="5"/>
  <c r="BG12" i="5"/>
  <c r="BG54" i="5"/>
  <c r="BG25" i="5"/>
  <c r="BG39" i="5"/>
  <c r="BG35" i="5"/>
  <c r="BG47" i="5"/>
  <c r="BG41" i="5"/>
  <c r="BG30" i="5"/>
  <c r="BG43" i="5"/>
  <c r="BG29" i="5"/>
  <c r="BG28" i="5"/>
  <c r="BG27" i="5"/>
  <c r="BG37" i="5"/>
  <c r="BF22" i="5"/>
  <c r="BF23" i="5"/>
  <c r="BF19" i="5"/>
  <c r="BF15" i="5"/>
  <c r="BF33" i="5"/>
  <c r="BF48" i="5"/>
  <c r="BF12" i="5"/>
  <c r="BF16" i="5"/>
  <c r="BF8" i="5"/>
  <c r="BF41" i="5"/>
  <c r="BF40" i="5"/>
  <c r="BF21" i="5"/>
  <c r="BF54" i="5"/>
  <c r="BF53" i="5"/>
  <c r="BF43" i="5"/>
  <c r="BF27" i="5"/>
  <c r="BF47" i="5"/>
  <c r="BF37" i="5"/>
  <c r="BF36" i="5"/>
  <c r="BF7" i="5"/>
  <c r="BF11" i="5"/>
  <c r="BF26" i="5"/>
  <c r="BF10" i="5"/>
  <c r="BF24" i="5"/>
  <c r="BF34" i="5"/>
  <c r="BF9" i="5"/>
  <c r="BF55" i="5"/>
  <c r="BF38" i="5"/>
  <c r="BF42" i="5"/>
  <c r="BF29" i="5"/>
  <c r="BF28" i="5"/>
  <c r="BF13" i="5"/>
  <c r="BF30" i="5"/>
  <c r="BF14" i="5"/>
  <c r="BF25" i="5"/>
  <c r="BF56" i="5"/>
  <c r="BF31" i="5"/>
  <c r="BF39" i="5"/>
  <c r="BF35" i="5"/>
  <c r="BB22" i="5"/>
  <c r="BB23" i="5"/>
  <c r="BB19" i="5"/>
  <c r="BB15" i="5"/>
  <c r="BB33" i="5"/>
  <c r="BB48" i="5"/>
  <c r="BB12" i="5"/>
  <c r="BB16" i="5"/>
  <c r="BB8" i="5"/>
  <c r="BB41" i="5"/>
  <c r="BB40" i="5"/>
  <c r="BB21" i="5"/>
  <c r="BB54" i="5"/>
  <c r="BB53" i="5"/>
  <c r="BB43" i="5"/>
  <c r="BB27" i="5"/>
  <c r="BB47" i="5"/>
  <c r="BB37" i="5"/>
  <c r="BB36" i="5"/>
  <c r="BB7" i="5"/>
  <c r="BB11" i="5"/>
  <c r="BB26" i="5"/>
  <c r="BB10" i="5"/>
  <c r="BB24" i="5"/>
  <c r="BB34" i="5"/>
  <c r="BB9" i="5"/>
  <c r="BB55" i="5"/>
  <c r="BB38" i="5"/>
  <c r="BB42" i="5"/>
  <c r="BB29" i="5"/>
  <c r="BB28" i="5"/>
  <c r="BB13" i="5"/>
  <c r="BB30" i="5"/>
  <c r="BB14" i="5"/>
  <c r="BB25" i="5"/>
  <c r="BB56" i="5"/>
  <c r="BB31" i="5"/>
  <c r="BB39" i="5"/>
  <c r="BB35" i="5"/>
  <c r="BA22" i="5"/>
  <c r="BA19" i="5"/>
  <c r="BA15" i="5"/>
  <c r="BA48" i="5"/>
  <c r="BA8" i="5"/>
  <c r="BA40" i="5"/>
  <c r="BA43" i="5"/>
  <c r="BA29" i="5"/>
  <c r="BA28" i="5"/>
  <c r="BA36" i="5"/>
  <c r="BA7" i="5"/>
  <c r="BA11" i="5"/>
  <c r="BA26" i="5"/>
  <c r="BA10" i="5"/>
  <c r="BA24" i="5"/>
  <c r="BA34" i="5"/>
  <c r="BA9" i="5"/>
  <c r="BA55" i="5"/>
  <c r="BA38" i="5"/>
  <c r="BA42" i="5"/>
  <c r="BA12" i="5"/>
  <c r="BA41" i="5"/>
  <c r="BA54" i="5"/>
  <c r="BA53" i="5"/>
  <c r="BA13" i="5"/>
  <c r="BA14" i="5"/>
  <c r="BA56" i="5"/>
  <c r="BA31" i="5"/>
  <c r="BA47" i="5"/>
  <c r="BA23" i="5"/>
  <c r="BA33" i="5"/>
  <c r="BA16" i="5"/>
  <c r="BA21" i="5"/>
  <c r="BA30" i="5"/>
  <c r="BA25" i="5"/>
  <c r="BA39" i="5"/>
  <c r="BA35" i="5"/>
  <c r="BA27" i="5"/>
  <c r="BA37" i="5"/>
  <c r="AZ22" i="5"/>
  <c r="AZ23" i="5"/>
  <c r="AZ19" i="5"/>
  <c r="AZ15" i="5"/>
  <c r="AZ33" i="5"/>
  <c r="AZ48" i="5"/>
  <c r="AZ12" i="5"/>
  <c r="AZ16" i="5"/>
  <c r="AZ8" i="5"/>
  <c r="AZ41" i="5"/>
  <c r="AZ40" i="5"/>
  <c r="AZ21" i="5"/>
  <c r="AZ54" i="5"/>
  <c r="AZ53" i="5"/>
  <c r="AZ43" i="5"/>
  <c r="AZ27" i="5"/>
  <c r="AZ47" i="5"/>
  <c r="AZ37" i="5"/>
  <c r="AZ36" i="5"/>
  <c r="AZ7" i="5"/>
  <c r="AZ11" i="5"/>
  <c r="AZ26" i="5"/>
  <c r="AZ10" i="5"/>
  <c r="AZ24" i="5"/>
  <c r="AZ34" i="5"/>
  <c r="AZ9" i="5"/>
  <c r="AZ55" i="5"/>
  <c r="AZ38" i="5"/>
  <c r="AZ42" i="5"/>
  <c r="AZ29" i="5"/>
  <c r="AZ28" i="5"/>
  <c r="AZ13" i="5"/>
  <c r="AZ30" i="5"/>
  <c r="AZ14" i="5"/>
  <c r="AZ25" i="5"/>
  <c r="AZ56" i="5"/>
  <c r="AZ31" i="5"/>
  <c r="AZ39" i="5"/>
  <c r="AZ35" i="5"/>
  <c r="BE22" i="5"/>
  <c r="BE19" i="5"/>
  <c r="BE15" i="5"/>
  <c r="BE48" i="5"/>
  <c r="BE8" i="5"/>
  <c r="BE40" i="5"/>
  <c r="BE43" i="5"/>
  <c r="BE29" i="5"/>
  <c r="BE12" i="5"/>
  <c r="BE41" i="5"/>
  <c r="BE54" i="5"/>
  <c r="BE53" i="5"/>
  <c r="BE28" i="5"/>
  <c r="BE36" i="5"/>
  <c r="BE7" i="5"/>
  <c r="BE11" i="5"/>
  <c r="BE26" i="5"/>
  <c r="BE10" i="5"/>
  <c r="BE24" i="5"/>
  <c r="BE34" i="5"/>
  <c r="BE9" i="5"/>
  <c r="BE55" i="5"/>
  <c r="BE38" i="5"/>
  <c r="BE42" i="5"/>
  <c r="BE23" i="5"/>
  <c r="BE33" i="5"/>
  <c r="BE16" i="5"/>
  <c r="BE21" i="5"/>
  <c r="BE13" i="5"/>
  <c r="BE30" i="5"/>
  <c r="BE14" i="5"/>
  <c r="BE25" i="5"/>
  <c r="BE56" i="5"/>
  <c r="BE31" i="5"/>
  <c r="BE39" i="5"/>
  <c r="BE35" i="5"/>
  <c r="BE27" i="5"/>
  <c r="BE47" i="5"/>
  <c r="BD22" i="5"/>
  <c r="BD23" i="5"/>
  <c r="BD19" i="5"/>
  <c r="BD15" i="5"/>
  <c r="BD33" i="5"/>
  <c r="BD48" i="5"/>
  <c r="BD12" i="5"/>
  <c r="BD16" i="5"/>
  <c r="BD8" i="5"/>
  <c r="BD41" i="5"/>
  <c r="BD40" i="5"/>
  <c r="BD21" i="5"/>
  <c r="BD54" i="5"/>
  <c r="BD53" i="5"/>
  <c r="BD43" i="5"/>
  <c r="BD27" i="5"/>
  <c r="BD47" i="5"/>
  <c r="BD37" i="5"/>
  <c r="BD36" i="5"/>
  <c r="BD13" i="5"/>
  <c r="BD7" i="5"/>
  <c r="BD30" i="5"/>
  <c r="BD11" i="5"/>
  <c r="BD14" i="5"/>
  <c r="BD26" i="5"/>
  <c r="BD25" i="5"/>
  <c r="BD10" i="5"/>
  <c r="BD56" i="5"/>
  <c r="BD24" i="5"/>
  <c r="BD34" i="5"/>
  <c r="BD31" i="5"/>
  <c r="BD9" i="5"/>
  <c r="BD39" i="5"/>
  <c r="BD35" i="5"/>
  <c r="BD55" i="5"/>
  <c r="BD38" i="5"/>
  <c r="BD42" i="5"/>
  <c r="BD29" i="5"/>
  <c r="BD28" i="5"/>
  <c r="BC22" i="5"/>
  <c r="BC19" i="5"/>
  <c r="BC15" i="5"/>
  <c r="BC48" i="5"/>
  <c r="BC8" i="5"/>
  <c r="BC40" i="5"/>
  <c r="BC43" i="5"/>
  <c r="BC29" i="5"/>
  <c r="BC28" i="5"/>
  <c r="BC36" i="5"/>
  <c r="BC7" i="5"/>
  <c r="BC11" i="5"/>
  <c r="BC26" i="5"/>
  <c r="BC10" i="5"/>
  <c r="BC24" i="5"/>
  <c r="BC34" i="5"/>
  <c r="BC9" i="5"/>
  <c r="BC55" i="5"/>
  <c r="BC38" i="5"/>
  <c r="BC42" i="5"/>
  <c r="BC12" i="5"/>
  <c r="BC41" i="5"/>
  <c r="BC54" i="5"/>
  <c r="BC53" i="5"/>
  <c r="BC13" i="5"/>
  <c r="BC14" i="5"/>
  <c r="BC56" i="5"/>
  <c r="BC31" i="5"/>
  <c r="BC47" i="5"/>
  <c r="BC23" i="5"/>
  <c r="BC33" i="5"/>
  <c r="BC16" i="5"/>
  <c r="BC21" i="5"/>
  <c r="BC30" i="5"/>
  <c r="BC25" i="5"/>
  <c r="BC39" i="5"/>
  <c r="BC35" i="5"/>
  <c r="BC27" i="5"/>
  <c r="BC37" i="5"/>
  <c r="AY22" i="5"/>
  <c r="AY19" i="5"/>
  <c r="AY15" i="5"/>
  <c r="AY48" i="5"/>
  <c r="AY8" i="5"/>
  <c r="AY40" i="5"/>
  <c r="AY43" i="5"/>
  <c r="AY29" i="5"/>
  <c r="AY28" i="5"/>
  <c r="AY36" i="5"/>
  <c r="AY7" i="5"/>
  <c r="AY11" i="5"/>
  <c r="AY26" i="5"/>
  <c r="AY10" i="5"/>
  <c r="AY24" i="5"/>
  <c r="AY34" i="5"/>
  <c r="AY9" i="5"/>
  <c r="AY55" i="5"/>
  <c r="AY38" i="5"/>
  <c r="AY42" i="5"/>
  <c r="AY12" i="5"/>
  <c r="AY41" i="5"/>
  <c r="AY54" i="5"/>
  <c r="AY53" i="5"/>
  <c r="AY13" i="5"/>
  <c r="AY14" i="5"/>
  <c r="AY56" i="5"/>
  <c r="AY31" i="5"/>
  <c r="AY47" i="5"/>
  <c r="AY23" i="5"/>
  <c r="AY33" i="5"/>
  <c r="AY16" i="5"/>
  <c r="AY21" i="5"/>
  <c r="AY30" i="5"/>
  <c r="AY25" i="5"/>
  <c r="AY39" i="5"/>
  <c r="AY35" i="5"/>
  <c r="AY27" i="5"/>
  <c r="AY37" i="5"/>
  <c r="I28" i="2"/>
  <c r="R64" i="4"/>
  <c r="P64" i="4"/>
  <c r="AO57" i="5" l="1"/>
  <c r="BE57" i="5"/>
  <c r="AW57" i="5" s="1"/>
  <c r="AP57" i="5"/>
  <c r="AJ57" i="5"/>
  <c r="AK57" i="5" s="1"/>
  <c r="R57" i="5"/>
  <c r="S57" i="5"/>
  <c r="AN57" i="5"/>
  <c r="BE58" i="5"/>
  <c r="AW58" i="5" s="1"/>
  <c r="AJ58" i="5"/>
  <c r="AK58" i="5" s="1"/>
  <c r="S58" i="5"/>
  <c r="AP58" i="5"/>
  <c r="R58" i="5"/>
  <c r="AO58" i="5"/>
  <c r="AN58" i="5"/>
  <c r="AJ45" i="5"/>
  <c r="AK45" i="5" s="1"/>
  <c r="BE45" i="5"/>
  <c r="AW45" i="5" s="1"/>
  <c r="S45" i="5"/>
  <c r="AP45" i="5"/>
  <c r="R45" i="5"/>
  <c r="AO45" i="5"/>
  <c r="AN45" i="5"/>
  <c r="AJ46" i="5"/>
  <c r="AN46" i="5"/>
  <c r="BE46" i="5"/>
  <c r="AW46" i="5" s="1"/>
  <c r="AO46" i="5"/>
  <c r="AP46" i="5"/>
  <c r="R46" i="5"/>
  <c r="S46" i="5"/>
  <c r="AJ49" i="5"/>
  <c r="AK49" i="5" s="1"/>
  <c r="BE49" i="5"/>
  <c r="AW49" i="5" s="1"/>
  <c r="S49" i="5"/>
  <c r="AP49" i="5"/>
  <c r="R49" i="5"/>
  <c r="AO49" i="5"/>
  <c r="AN49" i="5"/>
  <c r="BE44" i="5"/>
  <c r="AW44" i="5" s="1"/>
  <c r="S44" i="5"/>
  <c r="AP44" i="5"/>
  <c r="AJ44" i="5"/>
  <c r="AK44" i="5" s="1"/>
  <c r="AO44" i="5"/>
  <c r="AN44" i="5"/>
  <c r="R44" i="5"/>
  <c r="AJ52" i="5"/>
  <c r="AY52" i="5"/>
  <c r="AW52" i="5" s="1"/>
  <c r="S52" i="5"/>
  <c r="AP52" i="5"/>
  <c r="R52" i="5"/>
  <c r="AO52" i="5"/>
  <c r="AN52" i="5"/>
  <c r="AJ50" i="5"/>
  <c r="AY50" i="5"/>
  <c r="AW50" i="5" s="1"/>
  <c r="S50" i="5"/>
  <c r="AP50" i="5"/>
  <c r="R50" i="5"/>
  <c r="AO50" i="5"/>
  <c r="AN50" i="5"/>
  <c r="AY20" i="5"/>
  <c r="AW20" i="5" s="1"/>
  <c r="S20" i="5"/>
  <c r="AP20" i="5"/>
  <c r="R20" i="5"/>
  <c r="AJ20" i="5"/>
  <c r="AO20" i="5"/>
  <c r="AN20" i="5"/>
  <c r="AJ51" i="5"/>
  <c r="AY51" i="5"/>
  <c r="AW51" i="5" s="1"/>
  <c r="R51" i="5"/>
  <c r="S51" i="5"/>
  <c r="AP51" i="5"/>
  <c r="AO51" i="5"/>
  <c r="AN51" i="5"/>
  <c r="AY32" i="5"/>
  <c r="AW32" i="5" s="1"/>
  <c r="AJ32" i="5"/>
  <c r="R32" i="5"/>
  <c r="S32" i="5"/>
  <c r="AP32" i="5"/>
  <c r="AO32" i="5"/>
  <c r="AN32" i="5"/>
  <c r="AJ18" i="5"/>
  <c r="AN18" i="5"/>
  <c r="AY18" i="5"/>
  <c r="AW18" i="5" s="1"/>
  <c r="AO18" i="5"/>
  <c r="AP18" i="5"/>
  <c r="R18" i="5"/>
  <c r="S18" i="5"/>
  <c r="AH61" i="4"/>
  <c r="AI61" i="4" s="1"/>
  <c r="I61" i="4" a="1"/>
  <c r="I61" i="4" s="1"/>
  <c r="AH58" i="4"/>
  <c r="AI58" i="4" s="1"/>
  <c r="I58" i="4" a="1"/>
  <c r="I58" i="4" s="1"/>
  <c r="AH53" i="4"/>
  <c r="AI53" i="4" s="1"/>
  <c r="AE53" i="4"/>
  <c r="I53" i="4" a="1"/>
  <c r="I53" i="4" s="1"/>
  <c r="AF16" i="54" s="1"/>
  <c r="AD16" i="54" s="1"/>
  <c r="AC53" i="4"/>
  <c r="AD53" i="4"/>
  <c r="J53" i="4"/>
  <c r="AH46" i="4"/>
  <c r="AI46" i="4" s="1"/>
  <c r="I46" i="4" a="1"/>
  <c r="I46" i="4" s="1"/>
  <c r="AH52" i="4"/>
  <c r="AI52" i="4" s="1"/>
  <c r="I52" i="4" a="1"/>
  <c r="I52" i="4" s="1"/>
  <c r="AH50" i="4"/>
  <c r="AI50" i="4" s="1"/>
  <c r="I50" i="4" a="1"/>
  <c r="I50" i="4" s="1"/>
  <c r="AH48" i="4"/>
  <c r="AI48" i="4" s="1"/>
  <c r="I48" i="4" a="1"/>
  <c r="I48" i="4" s="1"/>
  <c r="AH42" i="4"/>
  <c r="AI42" i="4" s="1"/>
  <c r="I42" i="4" a="1"/>
  <c r="I42" i="4" s="1"/>
  <c r="AF29" i="54" s="1"/>
  <c r="AD29" i="54" s="1"/>
  <c r="AH41" i="4"/>
  <c r="AI41" i="4" s="1"/>
  <c r="I41" i="4" a="1"/>
  <c r="I41" i="4" s="1"/>
  <c r="AF28" i="54" s="1"/>
  <c r="AD28" i="54" s="1"/>
  <c r="AH40" i="4"/>
  <c r="AI40" i="4" s="1"/>
  <c r="I40" i="4" a="1"/>
  <c r="I40" i="4" s="1"/>
  <c r="AH38" i="4"/>
  <c r="AI38" i="4" s="1"/>
  <c r="I38" i="4" a="1"/>
  <c r="I38" i="4" s="1"/>
  <c r="I32" i="4" a="1"/>
  <c r="I32" i="4" s="1"/>
  <c r="AH32" i="4"/>
  <c r="AI32" i="4" s="1"/>
  <c r="AH37" i="4"/>
  <c r="AI37" i="4" s="1"/>
  <c r="I37" i="4" a="1"/>
  <c r="I37" i="4" s="1"/>
  <c r="AH35" i="4"/>
  <c r="AI35" i="4" s="1"/>
  <c r="I35" i="4" a="1"/>
  <c r="I35" i="4" s="1"/>
  <c r="AH34" i="4"/>
  <c r="AI34" i="4" s="1"/>
  <c r="I34" i="4" a="1"/>
  <c r="I34" i="4" s="1"/>
  <c r="I29" i="4" a="1"/>
  <c r="I29" i="4" s="1"/>
  <c r="AH29" i="4"/>
  <c r="AI29" i="4" s="1"/>
  <c r="AH27" i="4"/>
  <c r="AI27" i="4" s="1"/>
  <c r="I27" i="4" a="1"/>
  <c r="I27" i="4" s="1"/>
  <c r="AH26" i="4"/>
  <c r="AI26" i="4" s="1"/>
  <c r="I26" i="4" a="1"/>
  <c r="I26" i="4" s="1"/>
  <c r="AH21" i="4"/>
  <c r="AI21" i="4" s="1"/>
  <c r="I21" i="4" a="1"/>
  <c r="I21" i="4" s="1"/>
  <c r="AH23" i="4"/>
  <c r="AI23" i="4" s="1"/>
  <c r="I23" i="4" a="1"/>
  <c r="I23" i="4" s="1"/>
  <c r="AH22" i="4"/>
  <c r="AI22" i="4" s="1"/>
  <c r="I22" i="4" a="1"/>
  <c r="I22" i="4" s="1"/>
  <c r="AF9" i="54" s="1"/>
  <c r="AD9" i="54" s="1"/>
  <c r="AH17" i="4"/>
  <c r="AI17" i="4" s="1"/>
  <c r="I17" i="4" a="1"/>
  <c r="I17" i="4" s="1"/>
  <c r="AF21" i="54" s="1"/>
  <c r="AD21" i="54" s="1"/>
  <c r="I11" i="4" a="1"/>
  <c r="I11" i="4" s="1"/>
  <c r="AF30" i="54" s="1"/>
  <c r="AD30" i="54" s="1"/>
  <c r="AH11" i="4"/>
  <c r="AI11" i="4" s="1"/>
  <c r="AH10" i="4"/>
  <c r="AI10" i="4" s="1"/>
  <c r="I10" i="4" a="1"/>
  <c r="I10" i="4" s="1"/>
  <c r="AF7" i="54" s="1"/>
  <c r="AD7" i="54" s="1"/>
  <c r="AH13" i="4"/>
  <c r="AI13" i="4" s="1"/>
  <c r="I13" i="4" a="1"/>
  <c r="I13" i="4" s="1"/>
  <c r="I12" i="4" a="1"/>
  <c r="I12" i="4" s="1"/>
  <c r="AH12" i="4"/>
  <c r="AI12" i="4" s="1"/>
  <c r="AF23" i="54"/>
  <c r="AD23" i="54" s="1"/>
  <c r="AH56" i="4"/>
  <c r="AI56" i="4" s="1"/>
  <c r="I56" i="4" a="1"/>
  <c r="I56" i="4" s="1"/>
  <c r="AH62" i="4"/>
  <c r="AI62" i="4" s="1"/>
  <c r="I62" i="4" a="1"/>
  <c r="I62" i="4" s="1"/>
  <c r="AH60" i="4"/>
  <c r="AI60" i="4" s="1"/>
  <c r="I60" i="4" a="1"/>
  <c r="I60" i="4" s="1"/>
  <c r="AH59" i="4"/>
  <c r="AI59" i="4" s="1"/>
  <c r="I59" i="4" a="1"/>
  <c r="I59" i="4" s="1"/>
  <c r="AH57" i="4"/>
  <c r="AI57" i="4" s="1"/>
  <c r="I57" i="4" a="1"/>
  <c r="I57" i="4" s="1"/>
  <c r="AH55" i="4"/>
  <c r="AI55" i="4" s="1"/>
  <c r="I55" i="4" a="1"/>
  <c r="I55" i="4" s="1"/>
  <c r="AH54" i="4"/>
  <c r="AI54" i="4" s="1"/>
  <c r="I54" i="4" a="1"/>
  <c r="I54" i="4" s="1"/>
  <c r="AH51" i="4"/>
  <c r="AI51" i="4" s="1"/>
  <c r="I51" i="4" a="1"/>
  <c r="I51" i="4" s="1"/>
  <c r="AH49" i="4"/>
  <c r="AI49" i="4" s="1"/>
  <c r="I49" i="4" a="1"/>
  <c r="I49" i="4" s="1"/>
  <c r="AH47" i="4"/>
  <c r="AI47" i="4" s="1"/>
  <c r="I47" i="4" a="1"/>
  <c r="I47" i="4" s="1"/>
  <c r="AH44" i="4"/>
  <c r="AI44" i="4" s="1"/>
  <c r="I44" i="4" a="1"/>
  <c r="I44" i="4" s="1"/>
  <c r="AF25" i="52" s="1"/>
  <c r="AD25" i="52" s="1"/>
  <c r="I43" i="4" a="1"/>
  <c r="I43" i="4" s="1"/>
  <c r="AH43" i="4"/>
  <c r="AI43" i="4" s="1"/>
  <c r="AH45" i="4"/>
  <c r="AI45" i="4" s="1"/>
  <c r="I45" i="4" a="1"/>
  <c r="I45" i="4" s="1"/>
  <c r="AH39" i="4"/>
  <c r="AI39" i="4" s="1"/>
  <c r="I39" i="4" a="1"/>
  <c r="I39" i="4" s="1"/>
  <c r="AF10" i="54" s="1"/>
  <c r="AD10" i="54" s="1"/>
  <c r="AH30" i="4"/>
  <c r="AI30" i="4" s="1"/>
  <c r="I30" i="4" a="1"/>
  <c r="I30" i="4" s="1"/>
  <c r="AH36" i="4"/>
  <c r="AI36" i="4" s="1"/>
  <c r="I36" i="4" a="1"/>
  <c r="I36" i="4" s="1"/>
  <c r="AH33" i="4"/>
  <c r="AI33" i="4" s="1"/>
  <c r="I33" i="4" a="1"/>
  <c r="I33" i="4" s="1"/>
  <c r="AH31" i="4"/>
  <c r="AI31" i="4" s="1"/>
  <c r="I31" i="4" a="1"/>
  <c r="I31" i="4" s="1"/>
  <c r="AH28" i="4"/>
  <c r="AI28" i="4" s="1"/>
  <c r="I28" i="4" a="1"/>
  <c r="I28" i="4" s="1"/>
  <c r="AH25" i="4"/>
  <c r="AI25" i="4" s="1"/>
  <c r="I25" i="4" a="1"/>
  <c r="I25" i="4" s="1"/>
  <c r="I24" i="4" a="1"/>
  <c r="I24" i="4" s="1"/>
  <c r="AF8" i="54" s="1"/>
  <c r="AD8" i="54" s="1"/>
  <c r="AH24" i="4"/>
  <c r="AI24" i="4" s="1"/>
  <c r="AH18" i="4"/>
  <c r="AI18" i="4" s="1"/>
  <c r="I18" i="4" a="1"/>
  <c r="I18" i="4" s="1"/>
  <c r="AH19" i="4"/>
  <c r="AI19" i="4" s="1"/>
  <c r="I19" i="4" a="1"/>
  <c r="I19" i="4" s="1"/>
  <c r="AF15" i="54" s="1"/>
  <c r="AD15" i="54" s="1"/>
  <c r="I20" i="4" a="1"/>
  <c r="I20" i="4" s="1"/>
  <c r="AH20" i="4"/>
  <c r="AI20" i="4" s="1"/>
  <c r="AH16" i="4"/>
  <c r="AI16" i="4" s="1"/>
  <c r="I16" i="4" a="1"/>
  <c r="I16" i="4" s="1"/>
  <c r="AF14" i="54" s="1"/>
  <c r="AD14" i="54" s="1"/>
  <c r="AH15" i="4"/>
  <c r="AI15" i="4" s="1"/>
  <c r="I15" i="4" a="1"/>
  <c r="I15" i="4" s="1"/>
  <c r="AH14" i="4"/>
  <c r="AI14" i="4" s="1"/>
  <c r="I14" i="4" a="1"/>
  <c r="I14" i="4" s="1"/>
  <c r="I9" i="4" a="1"/>
  <c r="I9" i="4" s="1"/>
  <c r="AF8" i="52" s="1"/>
  <c r="AD8" i="52" s="1"/>
  <c r="AH9" i="4"/>
  <c r="AI9" i="4" s="1"/>
  <c r="AC62" i="4"/>
  <c r="AD62" i="4"/>
  <c r="J62" i="4"/>
  <c r="AE62" i="4"/>
  <c r="AC48" i="4"/>
  <c r="AD48" i="4"/>
  <c r="AE48" i="4"/>
  <c r="J48" i="4"/>
  <c r="R30" i="10"/>
  <c r="I7" i="10"/>
  <c r="AH8" i="4"/>
  <c r="AI8" i="4" s="1"/>
  <c r="AF15" i="52"/>
  <c r="AD15" i="52" s="1"/>
  <c r="AD52" i="4"/>
  <c r="J52" i="4"/>
  <c r="AC52" i="4"/>
  <c r="AE52" i="4"/>
  <c r="AD49" i="4"/>
  <c r="J49" i="4"/>
  <c r="AC49" i="4"/>
  <c r="AE49" i="4"/>
  <c r="AF14" i="52"/>
  <c r="AD14" i="52" s="1"/>
  <c r="AC56" i="4"/>
  <c r="J56" i="4"/>
  <c r="AD56" i="4"/>
  <c r="AE56" i="4"/>
  <c r="AD51" i="4"/>
  <c r="J51" i="4"/>
  <c r="AC51" i="4"/>
  <c r="AE51" i="4"/>
  <c r="AE43" i="4"/>
  <c r="AC43" i="4"/>
  <c r="AD43" i="4"/>
  <c r="J43" i="4"/>
  <c r="AD46" i="4"/>
  <c r="J46" i="4"/>
  <c r="AC46" i="4"/>
  <c r="AE46" i="4"/>
  <c r="AD31" i="4"/>
  <c r="J31" i="4"/>
  <c r="AE31" i="4"/>
  <c r="AC31" i="4"/>
  <c r="S35" i="5"/>
  <c r="AX35" i="5"/>
  <c r="AW35" i="5" s="1"/>
  <c r="AJ35" i="5"/>
  <c r="AP35" i="5"/>
  <c r="AN35" i="5"/>
  <c r="R35" i="5"/>
  <c r="AO35" i="5"/>
  <c r="R28" i="5"/>
  <c r="AO28" i="5"/>
  <c r="AJ28" i="5"/>
  <c r="AX28" i="5"/>
  <c r="AW28" i="5" s="1"/>
  <c r="S28" i="5"/>
  <c r="W28" i="5" s="1"/>
  <c r="AN28" i="5"/>
  <c r="AP28" i="5"/>
  <c r="S42" i="5"/>
  <c r="AX42" i="5"/>
  <c r="AW42" i="5" s="1"/>
  <c r="AJ42" i="5"/>
  <c r="AP42" i="5"/>
  <c r="AO42" i="5"/>
  <c r="R42" i="5"/>
  <c r="AN42" i="5"/>
  <c r="AX10" i="5"/>
  <c r="AW10" i="5" s="1"/>
  <c r="R10" i="5"/>
  <c r="S10" i="5"/>
  <c r="AJ10" i="5"/>
  <c r="AP10" i="5"/>
  <c r="AO10" i="5"/>
  <c r="AN10" i="5"/>
  <c r="R36" i="5"/>
  <c r="AJ36" i="5"/>
  <c r="AP36" i="5"/>
  <c r="AO36" i="5"/>
  <c r="AN36" i="5"/>
  <c r="AX36" i="5"/>
  <c r="AW36" i="5" s="1"/>
  <c r="S36" i="5"/>
  <c r="W36" i="5" s="1"/>
  <c r="S27" i="5"/>
  <c r="AX27" i="5"/>
  <c r="AW27" i="5" s="1"/>
  <c r="AJ27" i="5"/>
  <c r="AP27" i="5"/>
  <c r="AO27" i="5"/>
  <c r="R27" i="5"/>
  <c r="AN27" i="5"/>
  <c r="S43" i="5"/>
  <c r="R43" i="5"/>
  <c r="AG23" i="16" s="1"/>
  <c r="AX43" i="5"/>
  <c r="AW43" i="5" s="1"/>
  <c r="AJ43" i="5"/>
  <c r="AK43" i="5" s="1"/>
  <c r="AP43" i="5"/>
  <c r="AO43" i="5"/>
  <c r="AN43" i="5"/>
  <c r="AO8" i="5"/>
  <c r="S8" i="5"/>
  <c r="R8" i="5"/>
  <c r="AN8" i="5"/>
  <c r="AX8" i="5"/>
  <c r="AW8" i="5" s="1"/>
  <c r="AJ8" i="5"/>
  <c r="AP8" i="5"/>
  <c r="AX48" i="5"/>
  <c r="AW48" i="5" s="1"/>
  <c r="S48" i="5"/>
  <c r="R48" i="5"/>
  <c r="AN48" i="5"/>
  <c r="AJ48" i="5"/>
  <c r="AP48" i="5"/>
  <c r="AO48" i="5"/>
  <c r="AX15" i="5"/>
  <c r="AW15" i="5" s="1"/>
  <c r="R15" i="5"/>
  <c r="AG22" i="55" s="1"/>
  <c r="S15" i="5"/>
  <c r="AN15" i="5"/>
  <c r="AO15" i="5"/>
  <c r="AJ15" i="5"/>
  <c r="AP15" i="5"/>
  <c r="AA59" i="5"/>
  <c r="AA60" i="5" s="1"/>
  <c r="AY17" i="5"/>
  <c r="U63" i="4"/>
  <c r="AF59" i="5"/>
  <c r="AF60" i="5" s="1"/>
  <c r="BD17" i="5"/>
  <c r="AA63" i="4"/>
  <c r="AB63" i="4"/>
  <c r="I39" i="2" s="1"/>
  <c r="J23" i="10"/>
  <c r="T23" i="10"/>
  <c r="S23" i="10"/>
  <c r="U23" i="10"/>
  <c r="S8" i="10"/>
  <c r="T8" i="10"/>
  <c r="J8" i="10"/>
  <c r="U8" i="10"/>
  <c r="J29" i="10"/>
  <c r="S29" i="10"/>
  <c r="U29" i="10"/>
  <c r="T29" i="10"/>
  <c r="Q63" i="4"/>
  <c r="I7" i="2" s="1"/>
  <c r="T20" i="10"/>
  <c r="U20" i="10"/>
  <c r="J20" i="10"/>
  <c r="S20" i="10"/>
  <c r="J17" i="10"/>
  <c r="T17" i="10"/>
  <c r="U17" i="10"/>
  <c r="S17" i="10"/>
  <c r="U7" i="10"/>
  <c r="J7" i="10"/>
  <c r="Q31" i="10"/>
  <c r="S7" i="10"/>
  <c r="T7" i="10"/>
  <c r="J27" i="10"/>
  <c r="U27" i="10"/>
  <c r="T27" i="10"/>
  <c r="S27" i="10"/>
  <c r="J21" i="10"/>
  <c r="T21" i="10"/>
  <c r="U21" i="10"/>
  <c r="S21" i="10"/>
  <c r="J12" i="10"/>
  <c r="S12" i="10"/>
  <c r="U12" i="10"/>
  <c r="T12" i="10"/>
  <c r="J10" i="10"/>
  <c r="S10" i="10"/>
  <c r="U10" i="10"/>
  <c r="T10" i="10"/>
  <c r="AC59" i="5"/>
  <c r="AC60" i="5" s="1"/>
  <c r="BA17" i="5"/>
  <c r="S39" i="5"/>
  <c r="R39" i="5"/>
  <c r="AX39" i="5"/>
  <c r="AW39" i="5" s="1"/>
  <c r="AN39" i="5"/>
  <c r="AO39" i="5"/>
  <c r="AP39" i="5"/>
  <c r="AJ39" i="5"/>
  <c r="AX25" i="5"/>
  <c r="AW25" i="5" s="1"/>
  <c r="R25" i="5"/>
  <c r="AI14" i="16" s="1"/>
  <c r="S25" i="5"/>
  <c r="AJ25" i="5"/>
  <c r="AP25" i="5"/>
  <c r="AO25" i="5"/>
  <c r="AN25" i="5"/>
  <c r="AX30" i="5"/>
  <c r="AW30" i="5" s="1"/>
  <c r="R30" i="5"/>
  <c r="AO30" i="5"/>
  <c r="AJ30" i="5"/>
  <c r="AP30" i="5"/>
  <c r="S30" i="5"/>
  <c r="T30" i="5" s="1"/>
  <c r="AN30" i="5"/>
  <c r="S29" i="5"/>
  <c r="AJ29" i="5"/>
  <c r="AP29" i="5"/>
  <c r="R29" i="5"/>
  <c r="AG9" i="55" s="1"/>
  <c r="AX29" i="5"/>
  <c r="AW29" i="5" s="1"/>
  <c r="AN29" i="5"/>
  <c r="AO29" i="5"/>
  <c r="S38" i="5"/>
  <c r="AX38" i="5"/>
  <c r="AW38" i="5" s="1"/>
  <c r="AJ38" i="5"/>
  <c r="AK38" i="5" s="1"/>
  <c r="AP38" i="5"/>
  <c r="R38" i="5"/>
  <c r="AN38" i="5"/>
  <c r="AO38" i="5"/>
  <c r="AX34" i="5"/>
  <c r="AW34" i="5" s="1"/>
  <c r="S34" i="5"/>
  <c r="R34" i="5"/>
  <c r="AN34" i="5"/>
  <c r="AO34" i="5"/>
  <c r="AJ34" i="5"/>
  <c r="AP34" i="5"/>
  <c r="AX11" i="5"/>
  <c r="AW11" i="5" s="1"/>
  <c r="R11" i="5"/>
  <c r="S11" i="5"/>
  <c r="AJ11" i="5"/>
  <c r="AP11" i="5"/>
  <c r="AO11" i="5"/>
  <c r="AN11" i="5"/>
  <c r="AN37" i="5"/>
  <c r="R37" i="5"/>
  <c r="AX37" i="5"/>
  <c r="AW37" i="5" s="1"/>
  <c r="S37" i="5"/>
  <c r="T37" i="5" s="1"/>
  <c r="AP37" i="5"/>
  <c r="AO37" i="5"/>
  <c r="AJ37" i="5"/>
  <c r="AK37" i="5" s="1"/>
  <c r="R47" i="5"/>
  <c r="AO47" i="5"/>
  <c r="AJ47" i="5"/>
  <c r="AK47" i="5" s="1"/>
  <c r="AP47" i="5"/>
  <c r="AN47" i="5"/>
  <c r="AX47" i="5"/>
  <c r="AW47" i="5" s="1"/>
  <c r="S47" i="5"/>
  <c r="T47" i="5" s="1"/>
  <c r="AG14" i="16"/>
  <c r="S40" i="5"/>
  <c r="R40" i="5"/>
  <c r="AO40" i="5"/>
  <c r="AJ40" i="5"/>
  <c r="AP40" i="5"/>
  <c r="AX40" i="5"/>
  <c r="AW40" i="5" s="1"/>
  <c r="AN40" i="5"/>
  <c r="AX19" i="5"/>
  <c r="AW19" i="5" s="1"/>
  <c r="R19" i="5"/>
  <c r="S19" i="5"/>
  <c r="AN19" i="5"/>
  <c r="AO19" i="5"/>
  <c r="AJ19" i="5"/>
  <c r="AP19" i="5"/>
  <c r="AX22" i="5"/>
  <c r="AW22" i="5" s="1"/>
  <c r="S22" i="5"/>
  <c r="AJ22" i="5"/>
  <c r="AP22" i="5"/>
  <c r="R22" i="5"/>
  <c r="AE23" i="55" s="1"/>
  <c r="AN22" i="5"/>
  <c r="AO22" i="5"/>
  <c r="AX31" i="5"/>
  <c r="AW31" i="5" s="1"/>
  <c r="S31" i="5"/>
  <c r="R31" i="5"/>
  <c r="AN31" i="5"/>
  <c r="AO31" i="5"/>
  <c r="AJ31" i="5"/>
  <c r="AP31" i="5"/>
  <c r="AX56" i="5"/>
  <c r="AW56" i="5" s="1"/>
  <c r="R56" i="5"/>
  <c r="AG21" i="16" s="1"/>
  <c r="S56" i="5"/>
  <c r="AJ56" i="5"/>
  <c r="AP56" i="5"/>
  <c r="AO56" i="5"/>
  <c r="AN56" i="5"/>
  <c r="AX14" i="5"/>
  <c r="AW14" i="5" s="1"/>
  <c r="R14" i="5"/>
  <c r="S14" i="5"/>
  <c r="AJ14" i="5"/>
  <c r="AP14" i="5"/>
  <c r="AO14" i="5"/>
  <c r="AN14" i="5"/>
  <c r="AX13" i="5"/>
  <c r="AW13" i="5" s="1"/>
  <c r="R13" i="5"/>
  <c r="AO13" i="5"/>
  <c r="AN13" i="5"/>
  <c r="S13" i="5"/>
  <c r="AJ13" i="5"/>
  <c r="AP13" i="5"/>
  <c r="S55" i="5"/>
  <c r="AX55" i="5"/>
  <c r="AW55" i="5" s="1"/>
  <c r="AJ55" i="5"/>
  <c r="AK55" i="5" s="1"/>
  <c r="AP55" i="5"/>
  <c r="AN55" i="5"/>
  <c r="AO55" i="5"/>
  <c r="R55" i="5"/>
  <c r="AI21" i="15" s="1"/>
  <c r="AG14" i="17"/>
  <c r="AX9" i="5"/>
  <c r="AW9" i="5" s="1"/>
  <c r="R9" i="5"/>
  <c r="S9" i="5"/>
  <c r="AN9" i="5"/>
  <c r="AO9" i="5"/>
  <c r="AJ9" i="5"/>
  <c r="AP9" i="5"/>
  <c r="AX24" i="5"/>
  <c r="AW24" i="5" s="1"/>
  <c r="S24" i="5"/>
  <c r="R24" i="5"/>
  <c r="AG20" i="16" s="1"/>
  <c r="AN24" i="5"/>
  <c r="AO24" i="5"/>
  <c r="AJ24" i="5"/>
  <c r="AP24" i="5"/>
  <c r="AX26" i="5"/>
  <c r="AW26" i="5" s="1"/>
  <c r="R26" i="5"/>
  <c r="AE10" i="56" s="1"/>
  <c r="S26" i="5"/>
  <c r="AJ26" i="5"/>
  <c r="AP26" i="5"/>
  <c r="AO26" i="5"/>
  <c r="AN26" i="5"/>
  <c r="R7" i="5"/>
  <c r="AO7" i="5"/>
  <c r="AN7" i="5"/>
  <c r="AX7" i="5"/>
  <c r="AW7" i="5" s="1"/>
  <c r="S7" i="5"/>
  <c r="W7" i="5" s="1"/>
  <c r="AJ7" i="5"/>
  <c r="AP7" i="5"/>
  <c r="AE22" i="16"/>
  <c r="S17" i="5"/>
  <c r="Z59" i="5"/>
  <c r="AJ17" i="5"/>
  <c r="AP17" i="5"/>
  <c r="AO17" i="5"/>
  <c r="R17" i="5"/>
  <c r="AN17" i="5"/>
  <c r="AX17" i="5"/>
  <c r="R53" i="5"/>
  <c r="AG20" i="15" s="1"/>
  <c r="AN53" i="5"/>
  <c r="S53" i="5"/>
  <c r="T53" i="5" s="1"/>
  <c r="AP53" i="5"/>
  <c r="AX53" i="5"/>
  <c r="AW53" i="5" s="1"/>
  <c r="AJ53" i="5"/>
  <c r="AK53" i="5" s="1"/>
  <c r="AO53" i="5"/>
  <c r="AG16" i="14"/>
  <c r="AE13" i="11"/>
  <c r="R54" i="5"/>
  <c r="AE21" i="16" s="1"/>
  <c r="AD21" i="16" s="1"/>
  <c r="AX54" i="5"/>
  <c r="AW54" i="5" s="1"/>
  <c r="AN54" i="5"/>
  <c r="S54" i="5"/>
  <c r="AP54" i="5"/>
  <c r="AO54" i="5"/>
  <c r="AJ54" i="5"/>
  <c r="AK54" i="5" s="1"/>
  <c r="R21" i="5"/>
  <c r="S21" i="5"/>
  <c r="AP21" i="5"/>
  <c r="AN21" i="5"/>
  <c r="AO21" i="5"/>
  <c r="AJ21" i="5"/>
  <c r="AX21" i="5"/>
  <c r="AW21" i="5" s="1"/>
  <c r="AX41" i="5"/>
  <c r="AW41" i="5" s="1"/>
  <c r="R41" i="5"/>
  <c r="S41" i="5"/>
  <c r="AJ41" i="5"/>
  <c r="AP41" i="5"/>
  <c r="AO41" i="5"/>
  <c r="AN41" i="5"/>
  <c r="AX16" i="5"/>
  <c r="AW16" i="5" s="1"/>
  <c r="S16" i="5"/>
  <c r="R16" i="5"/>
  <c r="AN16" i="5"/>
  <c r="AJ16" i="5"/>
  <c r="AP16" i="5"/>
  <c r="AO16" i="5"/>
  <c r="AX12" i="5"/>
  <c r="AW12" i="5" s="1"/>
  <c r="R12" i="5"/>
  <c r="AK10" i="56" s="1"/>
  <c r="S12" i="5"/>
  <c r="AN12" i="5"/>
  <c r="AO12" i="5"/>
  <c r="AJ12" i="5"/>
  <c r="AP12" i="5"/>
  <c r="AX33" i="5"/>
  <c r="AW33" i="5" s="1"/>
  <c r="R33" i="5"/>
  <c r="S33" i="5"/>
  <c r="AN33" i="5"/>
  <c r="AO33" i="5"/>
  <c r="AJ33" i="5"/>
  <c r="AP33" i="5"/>
  <c r="AX23" i="5"/>
  <c r="AW23" i="5" s="1"/>
  <c r="R23" i="5"/>
  <c r="AE20" i="16" s="1"/>
  <c r="S23" i="5"/>
  <c r="AN23" i="5"/>
  <c r="AO23" i="5"/>
  <c r="AJ23" i="5"/>
  <c r="AP23" i="5"/>
  <c r="AG7" i="55"/>
  <c r="S63" i="4"/>
  <c r="W63" i="4"/>
  <c r="AE59" i="5"/>
  <c r="AE60" i="5" s="1"/>
  <c r="BC17" i="5"/>
  <c r="AG59" i="5"/>
  <c r="BE17" i="5"/>
  <c r="J9" i="10"/>
  <c r="S9" i="10"/>
  <c r="T9" i="10"/>
  <c r="U9" i="10"/>
  <c r="T25" i="10"/>
  <c r="U25" i="10"/>
  <c r="J25" i="10"/>
  <c r="S25" i="10"/>
  <c r="S14" i="10"/>
  <c r="J14" i="10"/>
  <c r="U14" i="10"/>
  <c r="T14" i="10"/>
  <c r="J19" i="10"/>
  <c r="U19" i="10"/>
  <c r="T19" i="10"/>
  <c r="S19" i="10"/>
  <c r="J16" i="10"/>
  <c r="T16" i="10"/>
  <c r="S16" i="10"/>
  <c r="U16" i="10"/>
  <c r="T11" i="10"/>
  <c r="U11" i="10"/>
  <c r="J11" i="10"/>
  <c r="S11" i="10"/>
  <c r="J15" i="10"/>
  <c r="S15" i="10"/>
  <c r="T15" i="10"/>
  <c r="U15" i="10"/>
  <c r="S22" i="10"/>
  <c r="J22" i="10"/>
  <c r="U22" i="10"/>
  <c r="T22" i="10"/>
  <c r="T13" i="10"/>
  <c r="U13" i="10"/>
  <c r="J13" i="10"/>
  <c r="S13" i="10"/>
  <c r="J26" i="10"/>
  <c r="U26" i="10"/>
  <c r="T26" i="10"/>
  <c r="S26" i="10"/>
  <c r="T28" i="10"/>
  <c r="U28" i="10"/>
  <c r="J28" i="10"/>
  <c r="S28" i="10"/>
  <c r="J24" i="10"/>
  <c r="S24" i="10"/>
  <c r="T24" i="10"/>
  <c r="U24" i="10"/>
  <c r="J18" i="10"/>
  <c r="U18" i="10"/>
  <c r="S18" i="10"/>
  <c r="T18" i="10"/>
  <c r="AB59" i="5"/>
  <c r="AB60" i="5" s="1"/>
  <c r="AZ17" i="5"/>
  <c r="AD59" i="5"/>
  <c r="AD60" i="5" s="1"/>
  <c r="BB17" i="5"/>
  <c r="X63" i="4"/>
  <c r="Z63" i="4"/>
  <c r="AH59" i="5"/>
  <c r="AH60" i="5" s="1"/>
  <c r="BF17" i="5"/>
  <c r="AI59" i="5"/>
  <c r="AI60" i="5" s="1"/>
  <c r="BG17" i="5"/>
  <c r="AG8" i="11" l="1"/>
  <c r="AG14" i="55"/>
  <c r="AK8" i="56"/>
  <c r="AG13" i="13"/>
  <c r="AE11" i="56"/>
  <c r="AE9" i="55"/>
  <c r="AD9" i="55" s="1"/>
  <c r="AG8" i="55"/>
  <c r="AK7" i="56"/>
  <c r="AI8" i="56"/>
  <c r="AE7" i="55"/>
  <c r="AG19" i="16"/>
  <c r="AG16" i="55"/>
  <c r="AI7" i="56"/>
  <c r="AE15" i="55"/>
  <c r="AD7" i="55"/>
  <c r="AI9" i="56"/>
  <c r="AG23" i="55"/>
  <c r="AD23" i="55" s="1"/>
  <c r="AE21" i="55"/>
  <c r="AD21" i="55" s="1"/>
  <c r="AK11" i="56"/>
  <c r="AE22" i="55"/>
  <c r="AD22" i="55" s="1"/>
  <c r="AE9" i="56"/>
  <c r="AE19" i="15"/>
  <c r="AE8" i="55"/>
  <c r="AD8" i="55" s="1"/>
  <c r="AE7" i="56"/>
  <c r="AD7" i="56" s="1"/>
  <c r="AK21" i="15"/>
  <c r="AI10" i="56"/>
  <c r="AD10" i="56" s="1"/>
  <c r="AE19" i="16"/>
  <c r="AE16" i="55"/>
  <c r="AD16" i="55" s="1"/>
  <c r="AI12" i="17"/>
  <c r="AI11" i="56"/>
  <c r="AE14" i="55"/>
  <c r="AD14" i="55" s="1"/>
  <c r="AE8" i="56"/>
  <c r="AD8" i="56" s="1"/>
  <c r="AK14" i="16"/>
  <c r="AK9" i="56"/>
  <c r="AG15" i="55"/>
  <c r="AF12" i="52"/>
  <c r="AD12" i="52" s="1"/>
  <c r="AF22" i="54"/>
  <c r="AD22" i="54" s="1"/>
  <c r="AF23" i="52"/>
  <c r="AD23" i="52" s="1"/>
  <c r="AF21" i="52"/>
  <c r="AD21" i="52" s="1"/>
  <c r="AF22" i="52"/>
  <c r="AD22" i="52" s="1"/>
  <c r="AF10" i="52"/>
  <c r="AD10" i="52" s="1"/>
  <c r="AF32" i="52"/>
  <c r="AD32" i="52" s="1"/>
  <c r="AF24" i="52"/>
  <c r="AD24" i="52" s="1"/>
  <c r="AF13" i="52"/>
  <c r="AD13" i="52" s="1"/>
  <c r="AF28" i="52"/>
  <c r="AD28" i="52" s="1"/>
  <c r="AF27" i="52"/>
  <c r="AD27" i="52" s="1"/>
  <c r="AF17" i="52"/>
  <c r="AD17" i="52" s="1"/>
  <c r="AF30" i="52"/>
  <c r="AD30" i="52" s="1"/>
  <c r="AG19" i="15"/>
  <c r="AD19" i="15" s="1"/>
  <c r="AK12" i="17"/>
  <c r="I32" i="2"/>
  <c r="AG60" i="5"/>
  <c r="AG11" i="20"/>
  <c r="T57" i="5"/>
  <c r="AE17" i="18"/>
  <c r="AE19" i="18"/>
  <c r="AE18" i="18"/>
  <c r="AG17" i="18"/>
  <c r="AG19" i="18"/>
  <c r="AG18" i="18"/>
  <c r="W46" i="5"/>
  <c r="W51" i="5"/>
  <c r="AG16" i="16"/>
  <c r="AG9" i="17"/>
  <c r="AE20" i="15"/>
  <c r="AD20" i="15" s="1"/>
  <c r="A52" i="5"/>
  <c r="C52" i="5"/>
  <c r="E52" i="5"/>
  <c r="G52" i="5"/>
  <c r="I52" i="5"/>
  <c r="A49" i="5"/>
  <c r="C49" i="5"/>
  <c r="G49" i="5"/>
  <c r="I49" i="5"/>
  <c r="W49" i="5"/>
  <c r="T49" i="5"/>
  <c r="A46" i="5"/>
  <c r="C46" i="5"/>
  <c r="E46" i="5"/>
  <c r="I46" i="5"/>
  <c r="T46" i="5"/>
  <c r="A45" i="5"/>
  <c r="C45" i="5"/>
  <c r="G45" i="5"/>
  <c r="I45" i="5"/>
  <c r="W45" i="5"/>
  <c r="T45" i="5"/>
  <c r="A44" i="5"/>
  <c r="C44" i="5"/>
  <c r="E44" i="5"/>
  <c r="I44" i="5"/>
  <c r="T44" i="5"/>
  <c r="W44" i="5"/>
  <c r="A58" i="5"/>
  <c r="C58" i="5"/>
  <c r="E58" i="5"/>
  <c r="I58" i="5"/>
  <c r="AG22" i="16"/>
  <c r="AD22" i="16" s="1"/>
  <c r="W58" i="5"/>
  <c r="T58" i="5"/>
  <c r="G57" i="5"/>
  <c r="I57" i="5"/>
  <c r="A57" i="5"/>
  <c r="C57" i="5"/>
  <c r="W57" i="5"/>
  <c r="AD20" i="16"/>
  <c r="AD19" i="16"/>
  <c r="AG18" i="16"/>
  <c r="AF16" i="52"/>
  <c r="AD16" i="52" s="1"/>
  <c r="AE21" i="15"/>
  <c r="AD21" i="15" s="1"/>
  <c r="AE23" i="16"/>
  <c r="AD23" i="16" s="1"/>
  <c r="AE12" i="16"/>
  <c r="AG17" i="14"/>
  <c r="AE17" i="14"/>
  <c r="AG15" i="12"/>
  <c r="T18" i="5"/>
  <c r="AE8" i="11"/>
  <c r="A18" i="5"/>
  <c r="C18" i="5"/>
  <c r="G18" i="5"/>
  <c r="AE14" i="20"/>
  <c r="W18" i="5"/>
  <c r="I32" i="5"/>
  <c r="A32" i="5"/>
  <c r="C32" i="5"/>
  <c r="E32" i="5"/>
  <c r="AG15" i="20"/>
  <c r="T32" i="5"/>
  <c r="G20" i="5"/>
  <c r="I20" i="5"/>
  <c r="A20" i="5"/>
  <c r="C20" i="5"/>
  <c r="AG12" i="20"/>
  <c r="T20" i="5"/>
  <c r="W20" i="5"/>
  <c r="A50" i="5"/>
  <c r="C50" i="5"/>
  <c r="G50" i="5"/>
  <c r="I50" i="5"/>
  <c r="T50" i="5"/>
  <c r="W50" i="5"/>
  <c r="W32" i="5"/>
  <c r="A51" i="5"/>
  <c r="C51" i="5"/>
  <c r="G51" i="5"/>
  <c r="I51" i="5"/>
  <c r="T51" i="5"/>
  <c r="T52" i="5"/>
  <c r="W52" i="5"/>
  <c r="AE10" i="20"/>
  <c r="AG17" i="19"/>
  <c r="AG15" i="18"/>
  <c r="AG13" i="17"/>
  <c r="AG13" i="15"/>
  <c r="AG15" i="14"/>
  <c r="AG12" i="12"/>
  <c r="AG10" i="13"/>
  <c r="AG13" i="19"/>
  <c r="AE13" i="13"/>
  <c r="AE15" i="12"/>
  <c r="AE18" i="16"/>
  <c r="AE18" i="15"/>
  <c r="AE12" i="14"/>
  <c r="AG11" i="18"/>
  <c r="AG9" i="15"/>
  <c r="AG9" i="14"/>
  <c r="AG11" i="13"/>
  <c r="AG9" i="11"/>
  <c r="AG8" i="12"/>
  <c r="AG8" i="16"/>
  <c r="AG12" i="17"/>
  <c r="AG10" i="19"/>
  <c r="AE15" i="19"/>
  <c r="AE17" i="16"/>
  <c r="AE11" i="15"/>
  <c r="AE13" i="14"/>
  <c r="AE15" i="11"/>
  <c r="AE8" i="17"/>
  <c r="AE10" i="18"/>
  <c r="AE12" i="13"/>
  <c r="AG11" i="17"/>
  <c r="AG8" i="13"/>
  <c r="AG12" i="14"/>
  <c r="AG18" i="15"/>
  <c r="AG8" i="20"/>
  <c r="AK9" i="17"/>
  <c r="AK13" i="13"/>
  <c r="AG8" i="18"/>
  <c r="AE9" i="13"/>
  <c r="AE14" i="16"/>
  <c r="AD14" i="16" s="1"/>
  <c r="AE13" i="16"/>
  <c r="AE17" i="12"/>
  <c r="AE12" i="11"/>
  <c r="AE16" i="15"/>
  <c r="AE10" i="17"/>
  <c r="AE16" i="18"/>
  <c r="AG13" i="16"/>
  <c r="AG17" i="12"/>
  <c r="AG12" i="11"/>
  <c r="AG16" i="15"/>
  <c r="AG16" i="18"/>
  <c r="AG10" i="17"/>
  <c r="AE9" i="18"/>
  <c r="AE17" i="11"/>
  <c r="AE12" i="15"/>
  <c r="AG8" i="19"/>
  <c r="AG13" i="18"/>
  <c r="AG11" i="11"/>
  <c r="AG12" i="19"/>
  <c r="AE12" i="20"/>
  <c r="AE17" i="17"/>
  <c r="AE11" i="16"/>
  <c r="AG17" i="15"/>
  <c r="AE11" i="14"/>
  <c r="AI13" i="13"/>
  <c r="AE14" i="12"/>
  <c r="AE12" i="18"/>
  <c r="AG16" i="19"/>
  <c r="AG9" i="19"/>
  <c r="AG16" i="11"/>
  <c r="AI9" i="17"/>
  <c r="AE9" i="12"/>
  <c r="AE16" i="19"/>
  <c r="AG12" i="16"/>
  <c r="AD12" i="16" s="1"/>
  <c r="AE16" i="13"/>
  <c r="AE16" i="14"/>
  <c r="AD16" i="14" s="1"/>
  <c r="AE15" i="20"/>
  <c r="AD15" i="20" s="1"/>
  <c r="AE16" i="20"/>
  <c r="AE15" i="15"/>
  <c r="AE15" i="13"/>
  <c r="AE11" i="18"/>
  <c r="AE9" i="15"/>
  <c r="AE9" i="14"/>
  <c r="AE11" i="13"/>
  <c r="AE9" i="11"/>
  <c r="AE12" i="17"/>
  <c r="AE8" i="12"/>
  <c r="AD8" i="12" s="1"/>
  <c r="AE8" i="16"/>
  <c r="AE10" i="19"/>
  <c r="AE15" i="17"/>
  <c r="AE17" i="15"/>
  <c r="AE14" i="11"/>
  <c r="AE14" i="13"/>
  <c r="AE14" i="14"/>
  <c r="AE13" i="20"/>
  <c r="AE9" i="16"/>
  <c r="AE13" i="12"/>
  <c r="AE8" i="14"/>
  <c r="AE8" i="15"/>
  <c r="AE11" i="17"/>
  <c r="AG9" i="16"/>
  <c r="AG11" i="12"/>
  <c r="AG8" i="14"/>
  <c r="AG8" i="15"/>
  <c r="AE8" i="13"/>
  <c r="AG10" i="11"/>
  <c r="AE17" i="19"/>
  <c r="AE15" i="18"/>
  <c r="AD15" i="18" s="1"/>
  <c r="AE13" i="17"/>
  <c r="AE13" i="15"/>
  <c r="AD13" i="15" s="1"/>
  <c r="AE15" i="14"/>
  <c r="AG13" i="11"/>
  <c r="AD13" i="11" s="1"/>
  <c r="AE10" i="13"/>
  <c r="AE12" i="12"/>
  <c r="AD12" i="12" s="1"/>
  <c r="AG11" i="14"/>
  <c r="AE11" i="12"/>
  <c r="AD11" i="12" s="1"/>
  <c r="AE10" i="11"/>
  <c r="AG14" i="15"/>
  <c r="AG10" i="16"/>
  <c r="AG15" i="16"/>
  <c r="AG17" i="13"/>
  <c r="AG16" i="17"/>
  <c r="AG9" i="20"/>
  <c r="AG14" i="18"/>
  <c r="AG10" i="12"/>
  <c r="AG15" i="17"/>
  <c r="AG13" i="20"/>
  <c r="AG14" i="14"/>
  <c r="AG14" i="11"/>
  <c r="AG14" i="13"/>
  <c r="AE9" i="17"/>
  <c r="AE8" i="19"/>
  <c r="AD8" i="19" s="1"/>
  <c r="AE11" i="20"/>
  <c r="AD11" i="20" s="1"/>
  <c r="AG14" i="20"/>
  <c r="AD14" i="20" s="1"/>
  <c r="AG9" i="12"/>
  <c r="AK8" i="11"/>
  <c r="AE8" i="20"/>
  <c r="AD8" i="20" s="1"/>
  <c r="AE11" i="19"/>
  <c r="AG9" i="13"/>
  <c r="AK15" i="12"/>
  <c r="AE14" i="15"/>
  <c r="AE10" i="16"/>
  <c r="AI8" i="11"/>
  <c r="AE14" i="17"/>
  <c r="AD14" i="17" s="1"/>
  <c r="AE8" i="18"/>
  <c r="AE10" i="14"/>
  <c r="AE10" i="15"/>
  <c r="AE16" i="12"/>
  <c r="AE16" i="16"/>
  <c r="AE18" i="19"/>
  <c r="AG10" i="20"/>
  <c r="AE9" i="19"/>
  <c r="AG13" i="12"/>
  <c r="AE16" i="11"/>
  <c r="AD16" i="11" s="1"/>
  <c r="AG16" i="20"/>
  <c r="AG15" i="15"/>
  <c r="AG15" i="13"/>
  <c r="AG17" i="17"/>
  <c r="AG11" i="16"/>
  <c r="AE13" i="19"/>
  <c r="AD13" i="19" s="1"/>
  <c r="AE15" i="16"/>
  <c r="AE17" i="13"/>
  <c r="AE10" i="12"/>
  <c r="AE16" i="17"/>
  <c r="AE14" i="18"/>
  <c r="AE9" i="20"/>
  <c r="AG15" i="19"/>
  <c r="AG17" i="16"/>
  <c r="AG11" i="15"/>
  <c r="AG13" i="14"/>
  <c r="AG15" i="11"/>
  <c r="AG12" i="13"/>
  <c r="AG8" i="17"/>
  <c r="AG10" i="18"/>
  <c r="AG16" i="12"/>
  <c r="AK16" i="16"/>
  <c r="AG12" i="18"/>
  <c r="AG18" i="19"/>
  <c r="AG10" i="15"/>
  <c r="AG10" i="14"/>
  <c r="AE13" i="18"/>
  <c r="AD13" i="18" s="1"/>
  <c r="AE11" i="11"/>
  <c r="AD11" i="11" s="1"/>
  <c r="AE12" i="19"/>
  <c r="AD12" i="19" s="1"/>
  <c r="AI15" i="12"/>
  <c r="AE14" i="19"/>
  <c r="AI16" i="16"/>
  <c r="AG16" i="13"/>
  <c r="AG14" i="19"/>
  <c r="AG11" i="19"/>
  <c r="AG14" i="12"/>
  <c r="AG9" i="18"/>
  <c r="AG17" i="11"/>
  <c r="AG12" i="15"/>
  <c r="AD17" i="14"/>
  <c r="AI16" i="49"/>
  <c r="AF20" i="52"/>
  <c r="AD20" i="52" s="1"/>
  <c r="AF9" i="52"/>
  <c r="AD9" i="52" s="1"/>
  <c r="AF11" i="52"/>
  <c r="AD11" i="52" s="1"/>
  <c r="AA64" i="4"/>
  <c r="I37" i="2"/>
  <c r="AK15" i="51"/>
  <c r="AF7" i="52"/>
  <c r="AD7" i="52" s="1"/>
  <c r="AK14" i="51"/>
  <c r="AF31" i="52"/>
  <c r="AD31" i="52" s="1"/>
  <c r="AE8" i="51"/>
  <c r="AG23" i="51"/>
  <c r="AK16" i="51"/>
  <c r="AK30" i="51"/>
  <c r="AE17" i="51"/>
  <c r="AE15" i="51"/>
  <c r="AK23" i="51"/>
  <c r="AE23" i="51"/>
  <c r="AG21" i="51"/>
  <c r="AE30" i="51"/>
  <c r="AG14" i="51"/>
  <c r="AE29" i="51"/>
  <c r="AE28" i="51"/>
  <c r="AI21" i="51"/>
  <c r="AG17" i="51"/>
  <c r="AD17" i="51" s="1"/>
  <c r="AI23" i="51"/>
  <c r="AG29" i="51"/>
  <c r="AI22" i="51"/>
  <c r="AG7" i="51"/>
  <c r="AI15" i="51"/>
  <c r="AF13" i="50"/>
  <c r="AD13" i="50" s="1"/>
  <c r="AI16" i="51"/>
  <c r="AE14" i="51"/>
  <c r="AG15" i="51"/>
  <c r="AI7" i="51"/>
  <c r="AG10" i="51"/>
  <c r="AK9" i="51"/>
  <c r="AE10" i="51"/>
  <c r="AI9" i="51"/>
  <c r="AG9" i="51"/>
  <c r="AI8" i="51"/>
  <c r="AE9" i="51"/>
  <c r="AI17" i="49"/>
  <c r="AK7" i="51"/>
  <c r="AG8" i="51"/>
  <c r="AK8" i="51"/>
  <c r="AE7" i="51"/>
  <c r="AG28" i="51"/>
  <c r="AK8" i="49"/>
  <c r="AE16" i="51"/>
  <c r="AK10" i="49"/>
  <c r="AG16" i="51"/>
  <c r="AE22" i="51"/>
  <c r="AD10" i="51"/>
  <c r="AI30" i="51"/>
  <c r="AD30" i="51" s="1"/>
  <c r="AD29" i="51"/>
  <c r="AG22" i="39"/>
  <c r="AG22" i="51"/>
  <c r="K48" i="4"/>
  <c r="N48" i="4"/>
  <c r="AF22" i="50"/>
  <c r="AD22" i="50" s="1"/>
  <c r="AF25" i="50"/>
  <c r="AD25" i="50" s="1"/>
  <c r="AF8" i="50"/>
  <c r="AD8" i="50" s="1"/>
  <c r="AF20" i="50"/>
  <c r="AD20" i="50" s="1"/>
  <c r="AF18" i="50"/>
  <c r="AD18" i="50" s="1"/>
  <c r="AF10" i="50"/>
  <c r="AD10" i="50" s="1"/>
  <c r="AF9" i="50"/>
  <c r="AD9" i="50" s="1"/>
  <c r="AF16" i="50"/>
  <c r="AD16" i="50" s="1"/>
  <c r="AI15" i="49"/>
  <c r="AF17" i="50"/>
  <c r="AD17" i="50" s="1"/>
  <c r="AF19" i="46"/>
  <c r="AD19" i="46" s="1"/>
  <c r="AF19" i="50"/>
  <c r="AD19" i="50" s="1"/>
  <c r="AF26" i="50"/>
  <c r="AD26" i="50" s="1"/>
  <c r="AK17" i="49"/>
  <c r="AF12" i="50"/>
  <c r="AD12" i="50" s="1"/>
  <c r="AK15" i="49"/>
  <c r="AF11" i="50"/>
  <c r="AD11" i="50" s="1"/>
  <c r="AE9" i="49"/>
  <c r="AF24" i="50"/>
  <c r="AD24" i="50" s="1"/>
  <c r="AE17" i="49"/>
  <c r="AD17" i="49" s="1"/>
  <c r="AF28" i="50"/>
  <c r="AD28" i="50" s="1"/>
  <c r="AE10" i="49"/>
  <c r="AF21" i="50"/>
  <c r="AD21" i="50" s="1"/>
  <c r="AI14" i="49"/>
  <c r="AK14" i="49"/>
  <c r="AE15" i="49"/>
  <c r="AI8" i="49"/>
  <c r="AE8" i="49"/>
  <c r="AI10" i="49"/>
  <c r="AK7" i="49"/>
  <c r="AE8" i="48"/>
  <c r="AE14" i="49"/>
  <c r="AG11" i="48"/>
  <c r="AE16" i="49"/>
  <c r="AK16" i="49"/>
  <c r="AE14" i="48"/>
  <c r="AI9" i="49"/>
  <c r="AE16" i="48"/>
  <c r="AE15" i="48"/>
  <c r="AG8" i="48"/>
  <c r="AG17" i="48"/>
  <c r="AG19" i="48"/>
  <c r="AG20" i="48"/>
  <c r="AG18" i="48"/>
  <c r="AE18" i="48"/>
  <c r="AE19" i="48"/>
  <c r="AD19" i="48" s="1"/>
  <c r="AE12" i="48"/>
  <c r="AF17" i="46"/>
  <c r="AD17" i="46" s="1"/>
  <c r="AG15" i="48"/>
  <c r="AG13" i="48"/>
  <c r="AE9" i="48"/>
  <c r="AE13" i="48"/>
  <c r="AF20" i="46"/>
  <c r="AD20" i="46" s="1"/>
  <c r="AE11" i="48"/>
  <c r="AG16" i="45"/>
  <c r="AG16" i="48"/>
  <c r="AG12" i="48"/>
  <c r="AE10" i="48"/>
  <c r="N31" i="4"/>
  <c r="AI14" i="40"/>
  <c r="AF11" i="46"/>
  <c r="AD11" i="46" s="1"/>
  <c r="AK14" i="43"/>
  <c r="AF23" i="46"/>
  <c r="AD23" i="46" s="1"/>
  <c r="AF12" i="46"/>
  <c r="AD12" i="46" s="1"/>
  <c r="AF10" i="46"/>
  <c r="AD10" i="46" s="1"/>
  <c r="AF27" i="46"/>
  <c r="AD27" i="46" s="1"/>
  <c r="AF29" i="46"/>
  <c r="AD29" i="46" s="1"/>
  <c r="AF31" i="46"/>
  <c r="AD31" i="46" s="1"/>
  <c r="AF16" i="32"/>
  <c r="AD16" i="32" s="1"/>
  <c r="AF22" i="32"/>
  <c r="AD22" i="32" s="1"/>
  <c r="AF22" i="46"/>
  <c r="AD22" i="46" s="1"/>
  <c r="AF14" i="32"/>
  <c r="AD14" i="32" s="1"/>
  <c r="AF15" i="46"/>
  <c r="AD15" i="46" s="1"/>
  <c r="AF25" i="32"/>
  <c r="AD25" i="32" s="1"/>
  <c r="AF25" i="46"/>
  <c r="AD25" i="46" s="1"/>
  <c r="AF13" i="32"/>
  <c r="AD13" i="32" s="1"/>
  <c r="AF13" i="46"/>
  <c r="AD13" i="46" s="1"/>
  <c r="AF8" i="32"/>
  <c r="AD8" i="32" s="1"/>
  <c r="AF8" i="46"/>
  <c r="AD8" i="46" s="1"/>
  <c r="AF24" i="32"/>
  <c r="AD24" i="32" s="1"/>
  <c r="AF24" i="46"/>
  <c r="AD24" i="46" s="1"/>
  <c r="AF18" i="46"/>
  <c r="AD18" i="46" s="1"/>
  <c r="AF9" i="32"/>
  <c r="AD9" i="32" s="1"/>
  <c r="AF9" i="46"/>
  <c r="AD9" i="46" s="1"/>
  <c r="AF21" i="32"/>
  <c r="AD21" i="32" s="1"/>
  <c r="AF17" i="32"/>
  <c r="AD17" i="32" s="1"/>
  <c r="AF19" i="32"/>
  <c r="AD19" i="32" s="1"/>
  <c r="AG24" i="44"/>
  <c r="AF26" i="32"/>
  <c r="AD26" i="32" s="1"/>
  <c r="AF12" i="32"/>
  <c r="AD12" i="32" s="1"/>
  <c r="AF11" i="32"/>
  <c r="AD11" i="32" s="1"/>
  <c r="AF20" i="32"/>
  <c r="AD20" i="32" s="1"/>
  <c r="AF28" i="32"/>
  <c r="AD28" i="32" s="1"/>
  <c r="AF10" i="32"/>
  <c r="AD10" i="32" s="1"/>
  <c r="AF27" i="32"/>
  <c r="AD27" i="32" s="1"/>
  <c r="AF23" i="32"/>
  <c r="AD23" i="32" s="1"/>
  <c r="AE17" i="39"/>
  <c r="AE30" i="39"/>
  <c r="AE8" i="44"/>
  <c r="AE8" i="39"/>
  <c r="AI8" i="43"/>
  <c r="AE12" i="45"/>
  <c r="AI9" i="43"/>
  <c r="AG7" i="39"/>
  <c r="AE8" i="45"/>
  <c r="AE28" i="44"/>
  <c r="AG10" i="44"/>
  <c r="AG15" i="45"/>
  <c r="AE9" i="43"/>
  <c r="AD9" i="43" s="1"/>
  <c r="AI7" i="43"/>
  <c r="AG15" i="39"/>
  <c r="AG9" i="45"/>
  <c r="AG16" i="44"/>
  <c r="AK16" i="43"/>
  <c r="AE15" i="44"/>
  <c r="AE16" i="39"/>
  <c r="AK7" i="43"/>
  <c r="AK22" i="44"/>
  <c r="AG23" i="39"/>
  <c r="AK30" i="43"/>
  <c r="AG15" i="44"/>
  <c r="AD15" i="44" s="1"/>
  <c r="AG16" i="39"/>
  <c r="AD16" i="39" s="1"/>
  <c r="AI28" i="43"/>
  <c r="AG10" i="45"/>
  <c r="AI29" i="43"/>
  <c r="N46" i="4"/>
  <c r="AG17" i="45"/>
  <c r="K46" i="4"/>
  <c r="AG17" i="44"/>
  <c r="AG10" i="39"/>
  <c r="AK15" i="43"/>
  <c r="AG11" i="45"/>
  <c r="AE22" i="39"/>
  <c r="AE15" i="43"/>
  <c r="AK22" i="43"/>
  <c r="AK30" i="39"/>
  <c r="AG21" i="44"/>
  <c r="AG18" i="45"/>
  <c r="AE16" i="43"/>
  <c r="N43" i="4"/>
  <c r="AE23" i="44"/>
  <c r="K43" i="4"/>
  <c r="AE30" i="44"/>
  <c r="AE15" i="39"/>
  <c r="AE7" i="43"/>
  <c r="AE9" i="45"/>
  <c r="K56" i="4"/>
  <c r="N56" i="4"/>
  <c r="AE16" i="45"/>
  <c r="AO9" i="43"/>
  <c r="AG28" i="44"/>
  <c r="AE14" i="44"/>
  <c r="AE28" i="39"/>
  <c r="AE23" i="43"/>
  <c r="AE13" i="45"/>
  <c r="AE17" i="44"/>
  <c r="AE10" i="39"/>
  <c r="AI15" i="43"/>
  <c r="AE11" i="45"/>
  <c r="AG9" i="44"/>
  <c r="AK28" i="43"/>
  <c r="AI30" i="39"/>
  <c r="AE22" i="44"/>
  <c r="AE28" i="43"/>
  <c r="AE23" i="39"/>
  <c r="AD23" i="39" s="1"/>
  <c r="AI22" i="44"/>
  <c r="AE22" i="43"/>
  <c r="AG17" i="39"/>
  <c r="AE21" i="43"/>
  <c r="N49" i="4"/>
  <c r="K49" i="4"/>
  <c r="AK21" i="43"/>
  <c r="N52" i="4"/>
  <c r="K52" i="4"/>
  <c r="AG7" i="44"/>
  <c r="AG14" i="45"/>
  <c r="AI14" i="43"/>
  <c r="AG9" i="39"/>
  <c r="AE10" i="44"/>
  <c r="AD10" i="44" s="1"/>
  <c r="AE15" i="45"/>
  <c r="AE9" i="39"/>
  <c r="AE14" i="43"/>
  <c r="AE21" i="44"/>
  <c r="AD21" i="44" s="1"/>
  <c r="AE18" i="45"/>
  <c r="AI22" i="43"/>
  <c r="AE29" i="43"/>
  <c r="AE14" i="39"/>
  <c r="AE17" i="45"/>
  <c r="AE7" i="44"/>
  <c r="AG14" i="39"/>
  <c r="AI23" i="43"/>
  <c r="AE14" i="45"/>
  <c r="AD14" i="45" s="1"/>
  <c r="AG29" i="44"/>
  <c r="AI30" i="43"/>
  <c r="AG29" i="39"/>
  <c r="AE29" i="44"/>
  <c r="AE30" i="43"/>
  <c r="AE29" i="39"/>
  <c r="AK29" i="43"/>
  <c r="AG8" i="45"/>
  <c r="AG8" i="44"/>
  <c r="AG8" i="39"/>
  <c r="AK8" i="43"/>
  <c r="AG12" i="45"/>
  <c r="AE9" i="44"/>
  <c r="AE7" i="39"/>
  <c r="AE8" i="43"/>
  <c r="AE10" i="45"/>
  <c r="I26" i="2"/>
  <c r="X64" i="4"/>
  <c r="I10" i="2"/>
  <c r="S64" i="4"/>
  <c r="I31" i="2"/>
  <c r="I19" i="2"/>
  <c r="K31" i="4"/>
  <c r="K28" i="10"/>
  <c r="W54" i="5"/>
  <c r="W10" i="5"/>
  <c r="T13" i="5"/>
  <c r="T56" i="5"/>
  <c r="N20" i="10"/>
  <c r="K8" i="10"/>
  <c r="K11" i="10"/>
  <c r="N25" i="10"/>
  <c r="T23" i="5"/>
  <c r="T33" i="5"/>
  <c r="W39" i="5"/>
  <c r="T15" i="5"/>
  <c r="I23" i="2"/>
  <c r="I12" i="2"/>
  <c r="N22" i="10"/>
  <c r="K22" i="10"/>
  <c r="K15" i="10"/>
  <c r="N15" i="10"/>
  <c r="K16" i="10"/>
  <c r="N16" i="10"/>
  <c r="K19" i="10"/>
  <c r="N19" i="10"/>
  <c r="K14" i="10"/>
  <c r="N14" i="10"/>
  <c r="K9" i="10"/>
  <c r="N9" i="10"/>
  <c r="G12" i="5"/>
  <c r="I12" i="5"/>
  <c r="W12" i="5"/>
  <c r="T16" i="5"/>
  <c r="E16" i="5"/>
  <c r="I16" i="5"/>
  <c r="C16" i="5"/>
  <c r="W16" i="5"/>
  <c r="W41" i="5"/>
  <c r="I41" i="5"/>
  <c r="E41" i="5"/>
  <c r="C41" i="5"/>
  <c r="G21" i="5"/>
  <c r="T21" i="5"/>
  <c r="I21" i="5"/>
  <c r="C21" i="5"/>
  <c r="I7" i="5"/>
  <c r="T7" i="5"/>
  <c r="G7" i="5"/>
  <c r="I26" i="5"/>
  <c r="G26" i="5"/>
  <c r="W26" i="5"/>
  <c r="W24" i="5"/>
  <c r="I24" i="5"/>
  <c r="C24" i="5"/>
  <c r="T24" i="5"/>
  <c r="A24" i="5"/>
  <c r="G24" i="5"/>
  <c r="G9" i="5"/>
  <c r="C9" i="5"/>
  <c r="I9" i="5"/>
  <c r="W9" i="5"/>
  <c r="W55" i="5"/>
  <c r="G55" i="5"/>
  <c r="A55" i="5"/>
  <c r="C55" i="5"/>
  <c r="I55" i="5"/>
  <c r="T55" i="5"/>
  <c r="G14" i="5"/>
  <c r="W14" i="5"/>
  <c r="C47" i="5"/>
  <c r="A47" i="5"/>
  <c r="I47" i="5"/>
  <c r="E47" i="5"/>
  <c r="W47" i="5"/>
  <c r="E37" i="5"/>
  <c r="W37" i="5"/>
  <c r="T11" i="5"/>
  <c r="T29" i="5"/>
  <c r="I29" i="5"/>
  <c r="E29" i="5"/>
  <c r="W29" i="5"/>
  <c r="C29" i="5"/>
  <c r="I30" i="5"/>
  <c r="G30" i="5"/>
  <c r="W30" i="5"/>
  <c r="T25" i="5"/>
  <c r="I39" i="5"/>
  <c r="C39" i="5"/>
  <c r="T39" i="5"/>
  <c r="G39" i="5"/>
  <c r="A39" i="5"/>
  <c r="N10" i="10"/>
  <c r="K10" i="10"/>
  <c r="N21" i="10"/>
  <c r="K21" i="10"/>
  <c r="K27" i="10"/>
  <c r="N27" i="10"/>
  <c r="K7" i="10"/>
  <c r="N7" i="10"/>
  <c r="K17" i="10"/>
  <c r="N17" i="10"/>
  <c r="K20" i="10"/>
  <c r="N8" i="10"/>
  <c r="I8" i="2"/>
  <c r="I15" i="5"/>
  <c r="G15" i="5"/>
  <c r="W15" i="5"/>
  <c r="W48" i="5"/>
  <c r="E48" i="5"/>
  <c r="C48" i="5"/>
  <c r="T48" i="5"/>
  <c r="I48" i="5"/>
  <c r="C43" i="5"/>
  <c r="W43" i="5"/>
  <c r="T43" i="5"/>
  <c r="G43" i="5"/>
  <c r="I43" i="5"/>
  <c r="A43" i="5"/>
  <c r="C28" i="5"/>
  <c r="G28" i="5"/>
  <c r="I28" i="5"/>
  <c r="T28" i="5"/>
  <c r="I35" i="5"/>
  <c r="C35" i="5"/>
  <c r="T35" i="5"/>
  <c r="W35" i="5"/>
  <c r="G35" i="5"/>
  <c r="A35" i="5"/>
  <c r="N24" i="10"/>
  <c r="K24" i="10"/>
  <c r="I36" i="2"/>
  <c r="I35" i="2"/>
  <c r="K18" i="10"/>
  <c r="N18" i="10"/>
  <c r="N28" i="10"/>
  <c r="N26" i="10"/>
  <c r="K26" i="10"/>
  <c r="K13" i="10"/>
  <c r="N13" i="10"/>
  <c r="N11" i="10"/>
  <c r="K25" i="10"/>
  <c r="I25" i="2"/>
  <c r="A23" i="5"/>
  <c r="C23" i="5"/>
  <c r="I23" i="5"/>
  <c r="W23" i="5"/>
  <c r="G23" i="5"/>
  <c r="G33" i="5"/>
  <c r="I33" i="5"/>
  <c r="W33" i="5"/>
  <c r="T12" i="5"/>
  <c r="T41" i="5"/>
  <c r="W21" i="5"/>
  <c r="C54" i="5"/>
  <c r="E54" i="5"/>
  <c r="T54" i="5"/>
  <c r="A54" i="5"/>
  <c r="I54" i="5"/>
  <c r="I53" i="5"/>
  <c r="E53" i="5"/>
  <c r="W53" i="5"/>
  <c r="AW17" i="5"/>
  <c r="I17" i="5"/>
  <c r="C17" i="5"/>
  <c r="T17" i="5"/>
  <c r="G17" i="5"/>
  <c r="W17" i="5"/>
  <c r="I5" i="2"/>
  <c r="Z60" i="5"/>
  <c r="T26" i="5"/>
  <c r="T9" i="5"/>
  <c r="C13" i="5"/>
  <c r="I13" i="5"/>
  <c r="G13" i="5"/>
  <c r="W13" i="5"/>
  <c r="T14" i="5"/>
  <c r="C56" i="5"/>
  <c r="I56" i="5"/>
  <c r="W56" i="5"/>
  <c r="G56" i="5"/>
  <c r="T31" i="5"/>
  <c r="G31" i="5"/>
  <c r="W31" i="5"/>
  <c r="I31" i="5"/>
  <c r="W22" i="5"/>
  <c r="G22" i="5"/>
  <c r="T22" i="5"/>
  <c r="I22" i="5"/>
  <c r="C22" i="5"/>
  <c r="G19" i="5"/>
  <c r="C19" i="5"/>
  <c r="W19" i="5"/>
  <c r="I19" i="5"/>
  <c r="T19" i="5"/>
  <c r="T40" i="5"/>
  <c r="G40" i="5"/>
  <c r="A40" i="5"/>
  <c r="I40" i="5"/>
  <c r="C40" i="5"/>
  <c r="W40" i="5"/>
  <c r="C11" i="5"/>
  <c r="W11" i="5"/>
  <c r="G11" i="5"/>
  <c r="W34" i="5"/>
  <c r="I34" i="5"/>
  <c r="C34" i="5"/>
  <c r="G34" i="5"/>
  <c r="A34" i="5"/>
  <c r="T34" i="5"/>
  <c r="T38" i="5"/>
  <c r="I38" i="5"/>
  <c r="W38" i="5"/>
  <c r="G38" i="5"/>
  <c r="I25" i="5"/>
  <c r="G25" i="5"/>
  <c r="W25" i="5"/>
  <c r="I17" i="2"/>
  <c r="N12" i="10"/>
  <c r="K12" i="10"/>
  <c r="T30" i="10"/>
  <c r="U30" i="10"/>
  <c r="Q64" i="4"/>
  <c r="N29" i="10"/>
  <c r="K29" i="10"/>
  <c r="K23" i="10"/>
  <c r="N23" i="10"/>
  <c r="I27" i="2"/>
  <c r="W8" i="5"/>
  <c r="I8" i="5"/>
  <c r="A8" i="5"/>
  <c r="T8" i="5"/>
  <c r="G8" i="5"/>
  <c r="T27" i="5"/>
  <c r="I27" i="5"/>
  <c r="E27" i="5"/>
  <c r="W27" i="5"/>
  <c r="C27" i="5"/>
  <c r="C36" i="5"/>
  <c r="I36" i="5"/>
  <c r="E36" i="5"/>
  <c r="T36" i="5"/>
  <c r="C10" i="5"/>
  <c r="I10" i="5"/>
  <c r="G10" i="5"/>
  <c r="T10" i="5"/>
  <c r="W42" i="5"/>
  <c r="G42" i="5"/>
  <c r="C42" i="5"/>
  <c r="I42" i="5"/>
  <c r="A42" i="5"/>
  <c r="T42" i="5"/>
  <c r="AD9" i="56" l="1"/>
  <c r="AD15" i="55"/>
  <c r="AD11" i="56"/>
  <c r="AD28" i="51"/>
  <c r="AD8" i="11"/>
  <c r="AD14" i="18"/>
  <c r="AD15" i="16"/>
  <c r="AD18" i="16"/>
  <c r="AD9" i="20"/>
  <c r="AD17" i="13"/>
  <c r="AD11" i="17"/>
  <c r="AD12" i="17"/>
  <c r="AD11" i="13"/>
  <c r="AD9" i="15"/>
  <c r="AD12" i="20"/>
  <c r="AD19" i="18"/>
  <c r="AD18" i="18"/>
  <c r="AD17" i="18"/>
  <c r="X46" i="5"/>
  <c r="U57" i="5"/>
  <c r="B57" i="5" s="1"/>
  <c r="X58" i="5"/>
  <c r="X44" i="5"/>
  <c r="X45" i="5"/>
  <c r="U46" i="5"/>
  <c r="U49" i="5"/>
  <c r="X57" i="5"/>
  <c r="U58" i="5"/>
  <c r="U44" i="5"/>
  <c r="U45" i="5"/>
  <c r="X49" i="5"/>
  <c r="AD8" i="16"/>
  <c r="AD10" i="12"/>
  <c r="AD16" i="19"/>
  <c r="AD16" i="17"/>
  <c r="AD9" i="19"/>
  <c r="AD8" i="18"/>
  <c r="AD9" i="17"/>
  <c r="AD10" i="13"/>
  <c r="AD15" i="14"/>
  <c r="AD13" i="17"/>
  <c r="AD17" i="19"/>
  <c r="AD8" i="13"/>
  <c r="AD10" i="19"/>
  <c r="AD9" i="11"/>
  <c r="AD9" i="14"/>
  <c r="AD11" i="18"/>
  <c r="AD14" i="15"/>
  <c r="AD10" i="16"/>
  <c r="AD10" i="11"/>
  <c r="AD17" i="15"/>
  <c r="X51" i="5"/>
  <c r="U18" i="5"/>
  <c r="F18" i="5" s="1"/>
  <c r="AD8" i="14"/>
  <c r="U52" i="5"/>
  <c r="X50" i="5"/>
  <c r="X20" i="5"/>
  <c r="U32" i="5"/>
  <c r="X52" i="5"/>
  <c r="U51" i="5"/>
  <c r="X32" i="5"/>
  <c r="U50" i="5"/>
  <c r="U20" i="5"/>
  <c r="X18" i="5"/>
  <c r="AD9" i="16"/>
  <c r="AD16" i="16"/>
  <c r="AD10" i="14"/>
  <c r="AD11" i="19"/>
  <c r="AD8" i="15"/>
  <c r="AD13" i="12"/>
  <c r="AD13" i="20"/>
  <c r="AD14" i="13"/>
  <c r="AD15" i="15"/>
  <c r="AD16" i="13"/>
  <c r="AD14" i="12"/>
  <c r="AD11" i="14"/>
  <c r="AD11" i="16"/>
  <c r="AD17" i="11"/>
  <c r="AD10" i="17"/>
  <c r="AD12" i="11"/>
  <c r="AD13" i="16"/>
  <c r="AD12" i="13"/>
  <c r="AD8" i="17"/>
  <c r="AD15" i="11"/>
  <c r="AD11" i="15"/>
  <c r="AD15" i="19"/>
  <c r="AD18" i="15"/>
  <c r="AD13" i="13"/>
  <c r="AD14" i="19"/>
  <c r="AD18" i="19"/>
  <c r="AD16" i="12"/>
  <c r="AD10" i="15"/>
  <c r="AD14" i="14"/>
  <c r="AD14" i="11"/>
  <c r="AD15" i="17"/>
  <c r="AD15" i="13"/>
  <c r="AD16" i="20"/>
  <c r="AD9" i="12"/>
  <c r="AD12" i="18"/>
  <c r="AD17" i="17"/>
  <c r="AD12" i="15"/>
  <c r="AD9" i="18"/>
  <c r="AD16" i="18"/>
  <c r="AD16" i="15"/>
  <c r="AD17" i="12"/>
  <c r="AD9" i="13"/>
  <c r="AD10" i="18"/>
  <c r="AD13" i="14"/>
  <c r="AD17" i="16"/>
  <c r="AD12" i="14"/>
  <c r="AD15" i="12"/>
  <c r="AD10" i="20"/>
  <c r="AD7" i="44"/>
  <c r="AD13" i="48"/>
  <c r="AD15" i="51"/>
  <c r="AD17" i="39"/>
  <c r="AD15" i="49"/>
  <c r="AD18" i="48"/>
  <c r="AD23" i="51"/>
  <c r="AD7" i="51"/>
  <c r="AD9" i="51"/>
  <c r="AD22" i="39"/>
  <c r="AD10" i="49"/>
  <c r="AD11" i="48"/>
  <c r="AD8" i="48"/>
  <c r="AD14" i="49"/>
  <c r="AD8" i="51"/>
  <c r="AD8" i="49"/>
  <c r="AD16" i="51"/>
  <c r="AD16" i="49"/>
  <c r="AD9" i="44"/>
  <c r="AD16" i="45"/>
  <c r="AD16" i="48"/>
  <c r="AD15" i="48"/>
  <c r="AD12" i="48"/>
  <c r="AD15" i="39"/>
  <c r="AD11" i="45"/>
  <c r="AD10" i="39"/>
  <c r="AD17" i="45"/>
  <c r="AD15" i="45"/>
  <c r="AD17" i="44"/>
  <c r="AD9" i="45"/>
  <c r="AD30" i="43"/>
  <c r="AD9" i="39"/>
  <c r="AD28" i="43"/>
  <c r="AD14" i="39"/>
  <c r="AD29" i="39"/>
  <c r="AD29" i="44"/>
  <c r="AD29" i="43"/>
  <c r="AD14" i="43"/>
  <c r="AD10" i="45"/>
  <c r="AD28" i="44"/>
  <c r="AD7" i="39"/>
  <c r="AD12" i="45"/>
  <c r="AD8" i="39"/>
  <c r="AD22" i="43"/>
  <c r="AD22" i="44"/>
  <c r="AD18" i="45"/>
  <c r="AD30" i="39"/>
  <c r="AD15" i="43"/>
  <c r="AD7" i="43"/>
  <c r="AD8" i="45"/>
  <c r="AD8" i="43"/>
  <c r="AD8" i="44"/>
  <c r="L23" i="10"/>
  <c r="O29" i="10"/>
  <c r="X42" i="5"/>
  <c r="U27" i="5"/>
  <c r="U8" i="5"/>
  <c r="U38" i="5"/>
  <c r="U40" i="5"/>
  <c r="X22" i="5"/>
  <c r="U31" i="5"/>
  <c r="U26" i="5"/>
  <c r="U23" i="5"/>
  <c r="U33" i="5"/>
  <c r="U56" i="5"/>
  <c r="U47" i="5"/>
  <c r="U13" i="5"/>
  <c r="U17" i="5"/>
  <c r="U15" i="5"/>
  <c r="U37" i="5"/>
  <c r="U53" i="5"/>
  <c r="U30" i="5"/>
  <c r="X21" i="5"/>
  <c r="U12" i="5"/>
  <c r="X33" i="5"/>
  <c r="L25" i="10"/>
  <c r="O13" i="10"/>
  <c r="L26" i="10"/>
  <c r="O28" i="10"/>
  <c r="O18" i="10"/>
  <c r="L24" i="10"/>
  <c r="X35" i="5"/>
  <c r="U43" i="5"/>
  <c r="X48" i="5"/>
  <c r="X15" i="5"/>
  <c r="L8" i="10"/>
  <c r="O8" i="10"/>
  <c r="L17" i="10"/>
  <c r="L11" i="10"/>
  <c r="L7" i="10"/>
  <c r="L28" i="10"/>
  <c r="L27" i="10"/>
  <c r="L21" i="10"/>
  <c r="L10" i="10"/>
  <c r="U39" i="5"/>
  <c r="X30" i="5"/>
  <c r="X29" i="5"/>
  <c r="U29" i="5"/>
  <c r="X47" i="5"/>
  <c r="X55" i="5"/>
  <c r="U24" i="5"/>
  <c r="X24" i="5"/>
  <c r="X26" i="5"/>
  <c r="U7" i="5"/>
  <c r="U21" i="5"/>
  <c r="X16" i="5"/>
  <c r="U16" i="5"/>
  <c r="X12" i="5"/>
  <c r="L9" i="10"/>
  <c r="L14" i="10"/>
  <c r="L19" i="10"/>
  <c r="L16" i="10"/>
  <c r="L15" i="10"/>
  <c r="O22" i="10"/>
  <c r="X27" i="5"/>
  <c r="O12" i="10"/>
  <c r="X38" i="5"/>
  <c r="X34" i="5"/>
  <c r="U22" i="5"/>
  <c r="X31" i="5"/>
  <c r="U42" i="5"/>
  <c r="U10" i="5"/>
  <c r="U36" i="5"/>
  <c r="X8" i="5"/>
  <c r="O23" i="10"/>
  <c r="L29" i="10"/>
  <c r="L12" i="10"/>
  <c r="X25" i="5"/>
  <c r="U34" i="5"/>
  <c r="X11" i="5"/>
  <c r="X40" i="5"/>
  <c r="U19" i="5"/>
  <c r="X19" i="5"/>
  <c r="X56" i="5"/>
  <c r="U14" i="5"/>
  <c r="X13" i="5"/>
  <c r="U9" i="5"/>
  <c r="X36" i="5"/>
  <c r="X17" i="5"/>
  <c r="X10" i="5"/>
  <c r="X7" i="5"/>
  <c r="X39" i="5"/>
  <c r="X54" i="5"/>
  <c r="X28" i="5"/>
  <c r="X53" i="5"/>
  <c r="U54" i="5"/>
  <c r="U41" i="5"/>
  <c r="X23" i="5"/>
  <c r="O11" i="10"/>
  <c r="L13" i="10"/>
  <c r="O26" i="10"/>
  <c r="L18" i="10"/>
  <c r="O24" i="10"/>
  <c r="U35" i="5"/>
  <c r="U28" i="5"/>
  <c r="X43" i="5"/>
  <c r="U48" i="5"/>
  <c r="L20" i="10"/>
  <c r="O17" i="10"/>
  <c r="O25" i="10"/>
  <c r="O7" i="10"/>
  <c r="O20" i="10"/>
  <c r="O27" i="10"/>
  <c r="O21" i="10"/>
  <c r="O10" i="10"/>
  <c r="U25" i="5"/>
  <c r="U11" i="5"/>
  <c r="X37" i="5"/>
  <c r="X14" i="5"/>
  <c r="U55" i="5"/>
  <c r="X9" i="5"/>
  <c r="X41" i="5"/>
  <c r="O9" i="10"/>
  <c r="O14" i="10"/>
  <c r="O19" i="10"/>
  <c r="O16" i="10"/>
  <c r="O15" i="10"/>
  <c r="L22" i="10"/>
  <c r="K38" i="5" l="1"/>
  <c r="AL38" i="5" s="1"/>
  <c r="J57" i="5"/>
  <c r="F57" i="5"/>
  <c r="H57" i="5"/>
  <c r="D57" i="5"/>
  <c r="K47" i="5"/>
  <c r="AL47" i="5" s="1"/>
  <c r="K57" i="5"/>
  <c r="AL57" i="5" s="1"/>
  <c r="F45" i="5"/>
  <c r="H45" i="5"/>
  <c r="J45" i="5"/>
  <c r="B45" i="5"/>
  <c r="D45" i="5"/>
  <c r="K45" i="5"/>
  <c r="AL45" i="5" s="1"/>
  <c r="H44" i="5"/>
  <c r="J44" i="5"/>
  <c r="B44" i="5"/>
  <c r="D44" i="5"/>
  <c r="F44" i="5"/>
  <c r="K44" i="5"/>
  <c r="AL44" i="5" s="1"/>
  <c r="H58" i="5"/>
  <c r="J58" i="5"/>
  <c r="B58" i="5"/>
  <c r="D58" i="5"/>
  <c r="F58" i="5"/>
  <c r="K58" i="5"/>
  <c r="AL58" i="5" s="1"/>
  <c r="F49" i="5"/>
  <c r="H49" i="5"/>
  <c r="J49" i="5"/>
  <c r="B49" i="5"/>
  <c r="D49" i="5"/>
  <c r="K49" i="5"/>
  <c r="AL49" i="5" s="1"/>
  <c r="B46" i="5"/>
  <c r="D46" i="5"/>
  <c r="F46" i="5"/>
  <c r="H46" i="5"/>
  <c r="J46" i="5"/>
  <c r="K46" i="5"/>
  <c r="B52" i="5"/>
  <c r="D52" i="5"/>
  <c r="F52" i="5"/>
  <c r="H52" i="5"/>
  <c r="J52" i="5"/>
  <c r="K52" i="5"/>
  <c r="Y57" i="5"/>
  <c r="Y49" i="5"/>
  <c r="Y46" i="5"/>
  <c r="AK46" i="5" s="1"/>
  <c r="Y58" i="5"/>
  <c r="Y45" i="5"/>
  <c r="Y44" i="5"/>
  <c r="K37" i="5"/>
  <c r="AL37" i="5" s="1"/>
  <c r="K53" i="5"/>
  <c r="AL53" i="5" s="1"/>
  <c r="K29" i="5"/>
  <c r="K43" i="5"/>
  <c r="AL43" i="5" s="1"/>
  <c r="D18" i="5"/>
  <c r="H18" i="5"/>
  <c r="J18" i="5"/>
  <c r="B18" i="5"/>
  <c r="K18" i="5"/>
  <c r="K28" i="5"/>
  <c r="B20" i="5"/>
  <c r="D20" i="5"/>
  <c r="F20" i="5"/>
  <c r="H20" i="5"/>
  <c r="J20" i="5"/>
  <c r="K20" i="5"/>
  <c r="K27" i="5"/>
  <c r="B50" i="5"/>
  <c r="D50" i="5"/>
  <c r="F50" i="5"/>
  <c r="H50" i="5"/>
  <c r="J50" i="5"/>
  <c r="K50" i="5"/>
  <c r="B51" i="5"/>
  <c r="D51" i="5"/>
  <c r="F51" i="5"/>
  <c r="H51" i="5"/>
  <c r="J51" i="5"/>
  <c r="K51" i="5"/>
  <c r="B32" i="5"/>
  <c r="D32" i="5"/>
  <c r="F32" i="5"/>
  <c r="H32" i="5"/>
  <c r="J32" i="5"/>
  <c r="K32" i="5"/>
  <c r="Y18" i="5"/>
  <c r="AK18" i="5" s="1"/>
  <c r="Y50" i="5"/>
  <c r="AK50" i="5" s="1"/>
  <c r="Y32" i="5"/>
  <c r="AK32" i="5" s="1"/>
  <c r="Y20" i="5"/>
  <c r="AK20" i="5" s="1"/>
  <c r="Y52" i="5"/>
  <c r="AK52" i="5" s="1"/>
  <c r="Y51" i="5"/>
  <c r="AK51" i="5" s="1"/>
  <c r="K42" i="5"/>
  <c r="E22" i="10"/>
  <c r="H55" i="5"/>
  <c r="D55" i="5"/>
  <c r="K55" i="5"/>
  <c r="AL55" i="5" s="1"/>
  <c r="F55" i="5"/>
  <c r="J55" i="5"/>
  <c r="B55" i="5"/>
  <c r="Y14" i="5"/>
  <c r="AK14" i="5" s="1"/>
  <c r="Y37" i="5"/>
  <c r="E20" i="10"/>
  <c r="Y43" i="5"/>
  <c r="H35" i="5"/>
  <c r="D35" i="5"/>
  <c r="K35" i="5"/>
  <c r="J35" i="5"/>
  <c r="B35" i="5"/>
  <c r="F35" i="5"/>
  <c r="E18" i="10"/>
  <c r="Y23" i="5"/>
  <c r="AK23" i="5" s="1"/>
  <c r="J41" i="5"/>
  <c r="F41" i="5"/>
  <c r="B41" i="5"/>
  <c r="D41" i="5"/>
  <c r="K41" i="5"/>
  <c r="H41" i="5"/>
  <c r="Y28" i="5"/>
  <c r="AK28" i="5" s="1"/>
  <c r="Y39" i="5"/>
  <c r="AK39" i="5" s="1"/>
  <c r="Y10" i="5"/>
  <c r="AK10" i="5" s="1"/>
  <c r="Y13" i="5"/>
  <c r="AK13" i="5" s="1"/>
  <c r="J19" i="5"/>
  <c r="F19" i="5"/>
  <c r="B19" i="5"/>
  <c r="H19" i="5"/>
  <c r="K19" i="5"/>
  <c r="D19" i="5"/>
  <c r="H34" i="5"/>
  <c r="D34" i="5"/>
  <c r="K34" i="5"/>
  <c r="J34" i="5"/>
  <c r="B34" i="5"/>
  <c r="F34" i="5"/>
  <c r="H36" i="5"/>
  <c r="D36" i="5"/>
  <c r="J36" i="5"/>
  <c r="F36" i="5"/>
  <c r="B36" i="5"/>
  <c r="K36" i="5"/>
  <c r="K10" i="5"/>
  <c r="H10" i="5"/>
  <c r="D10" i="5"/>
  <c r="F10" i="5"/>
  <c r="J10" i="5"/>
  <c r="B10" i="5"/>
  <c r="Y31" i="5"/>
  <c r="AK31" i="5" s="1"/>
  <c r="Y38" i="5"/>
  <c r="E19" i="10"/>
  <c r="E9" i="10"/>
  <c r="J16" i="5"/>
  <c r="F16" i="5"/>
  <c r="B16" i="5"/>
  <c r="H16" i="5"/>
  <c r="D16" i="5"/>
  <c r="K16" i="5"/>
  <c r="J21" i="5"/>
  <c r="B21" i="5"/>
  <c r="D21" i="5"/>
  <c r="H21" i="5"/>
  <c r="K21" i="5"/>
  <c r="F21" i="5"/>
  <c r="H24" i="5"/>
  <c r="D24" i="5"/>
  <c r="K24" i="5"/>
  <c r="F24" i="5"/>
  <c r="J24" i="5"/>
  <c r="B24" i="5"/>
  <c r="Y55" i="5"/>
  <c r="H29" i="5"/>
  <c r="D29" i="5"/>
  <c r="F29" i="5"/>
  <c r="J29" i="5"/>
  <c r="B29" i="5"/>
  <c r="F39" i="5"/>
  <c r="H39" i="5"/>
  <c r="K39" i="5"/>
  <c r="D39" i="5"/>
  <c r="J39" i="5"/>
  <c r="B39" i="5"/>
  <c r="E10" i="10"/>
  <c r="E28" i="10"/>
  <c r="Y48" i="5"/>
  <c r="AK48" i="5" s="1"/>
  <c r="Y35" i="5"/>
  <c r="AK35" i="5" s="1"/>
  <c r="E24" i="10"/>
  <c r="E26" i="10"/>
  <c r="B25" i="10"/>
  <c r="E25" i="10"/>
  <c r="Y33" i="5"/>
  <c r="AK33" i="5" s="1"/>
  <c r="Y21" i="5"/>
  <c r="AK21" i="5" s="1"/>
  <c r="H37" i="5"/>
  <c r="D37" i="5"/>
  <c r="J37" i="5"/>
  <c r="B37" i="5"/>
  <c r="F37" i="5"/>
  <c r="J15" i="5"/>
  <c r="F15" i="5"/>
  <c r="B15" i="5"/>
  <c r="K15" i="5"/>
  <c r="H15" i="5"/>
  <c r="D15" i="5"/>
  <c r="H17" i="5"/>
  <c r="D17" i="5"/>
  <c r="K17" i="5"/>
  <c r="J17" i="5"/>
  <c r="B17" i="5"/>
  <c r="F17" i="5"/>
  <c r="H13" i="5"/>
  <c r="D13" i="5"/>
  <c r="K13" i="5"/>
  <c r="J13" i="5"/>
  <c r="F13" i="5"/>
  <c r="B13" i="5"/>
  <c r="J56" i="5"/>
  <c r="F56" i="5"/>
  <c r="B56" i="5"/>
  <c r="H56" i="5"/>
  <c r="K56" i="5"/>
  <c r="D56" i="5"/>
  <c r="K33" i="5"/>
  <c r="H33" i="5"/>
  <c r="D33" i="5"/>
  <c r="J33" i="5"/>
  <c r="B33" i="5"/>
  <c r="F33" i="5"/>
  <c r="J26" i="5"/>
  <c r="F26" i="5"/>
  <c r="B26" i="5"/>
  <c r="K26" i="5"/>
  <c r="D26" i="5"/>
  <c r="H26" i="5"/>
  <c r="Y22" i="5"/>
  <c r="AK22" i="5" s="1"/>
  <c r="B40" i="5"/>
  <c r="D40" i="5"/>
  <c r="K40" i="5"/>
  <c r="J40" i="5"/>
  <c r="F40" i="5"/>
  <c r="H40" i="5"/>
  <c r="J27" i="5"/>
  <c r="F27" i="5"/>
  <c r="B27" i="5"/>
  <c r="D27" i="5"/>
  <c r="H27" i="5"/>
  <c r="Y41" i="5"/>
  <c r="AK41" i="5" s="1"/>
  <c r="Y9" i="5"/>
  <c r="AK9" i="5" s="1"/>
  <c r="J11" i="5"/>
  <c r="F11" i="5"/>
  <c r="B11" i="5"/>
  <c r="H11" i="5"/>
  <c r="K11" i="5"/>
  <c r="D11" i="5"/>
  <c r="K25" i="5"/>
  <c r="H25" i="5"/>
  <c r="D25" i="5"/>
  <c r="F25" i="5"/>
  <c r="J25" i="5"/>
  <c r="B25" i="5"/>
  <c r="J48" i="5"/>
  <c r="F48" i="5"/>
  <c r="B48" i="5"/>
  <c r="H48" i="5"/>
  <c r="K48" i="5"/>
  <c r="D48" i="5"/>
  <c r="J28" i="5"/>
  <c r="F28" i="5"/>
  <c r="B28" i="5"/>
  <c r="H28" i="5"/>
  <c r="D28" i="5"/>
  <c r="C30" i="10"/>
  <c r="E13" i="10"/>
  <c r="J54" i="5"/>
  <c r="F54" i="5"/>
  <c r="B54" i="5"/>
  <c r="H54" i="5"/>
  <c r="D54" i="5"/>
  <c r="K54" i="5"/>
  <c r="AL54" i="5" s="1"/>
  <c r="Y53" i="5"/>
  <c r="Y54" i="5"/>
  <c r="Y7" i="5"/>
  <c r="AK7" i="5" s="1"/>
  <c r="Y17" i="5"/>
  <c r="AK17" i="5" s="1"/>
  <c r="Y36" i="5"/>
  <c r="AK36" i="5" s="1"/>
  <c r="H9" i="5"/>
  <c r="D9" i="5"/>
  <c r="K9" i="5"/>
  <c r="F9" i="5"/>
  <c r="J9" i="5"/>
  <c r="B9" i="5"/>
  <c r="J14" i="5"/>
  <c r="F14" i="5"/>
  <c r="B14" i="5"/>
  <c r="K14" i="5"/>
  <c r="H14" i="5"/>
  <c r="D14" i="5"/>
  <c r="Y56" i="5"/>
  <c r="AK56" i="5" s="1"/>
  <c r="Y19" i="5"/>
  <c r="AK19" i="5" s="1"/>
  <c r="Y40" i="5"/>
  <c r="AK40" i="5" s="1"/>
  <c r="Y11" i="5"/>
  <c r="AK11" i="5" s="1"/>
  <c r="Y25" i="5"/>
  <c r="AK25" i="5" s="1"/>
  <c r="E12" i="10"/>
  <c r="E29" i="10"/>
  <c r="Y8" i="5"/>
  <c r="AK8" i="5" s="1"/>
  <c r="D42" i="5"/>
  <c r="B42" i="5"/>
  <c r="J42" i="5"/>
  <c r="H42" i="5"/>
  <c r="F42" i="5"/>
  <c r="J22" i="5"/>
  <c r="F22" i="5"/>
  <c r="B22" i="5"/>
  <c r="H22" i="5"/>
  <c r="D22" i="5"/>
  <c r="K22" i="5"/>
  <c r="Y34" i="5"/>
  <c r="AK34" i="5" s="1"/>
  <c r="Y27" i="5"/>
  <c r="AK27" i="5" s="1"/>
  <c r="E15" i="10"/>
  <c r="E16" i="10"/>
  <c r="E14" i="10"/>
  <c r="Y12" i="5"/>
  <c r="AK12" i="5" s="1"/>
  <c r="Y16" i="5"/>
  <c r="AK16" i="5" s="1"/>
  <c r="H7" i="5"/>
  <c r="D7" i="5"/>
  <c r="K7" i="5"/>
  <c r="F7" i="5"/>
  <c r="J7" i="5"/>
  <c r="B7" i="5"/>
  <c r="Y26" i="5"/>
  <c r="AK26" i="5" s="1"/>
  <c r="Y24" i="5"/>
  <c r="AK24" i="5" s="1"/>
  <c r="Y47" i="5"/>
  <c r="Y29" i="5"/>
  <c r="AK29" i="5" s="1"/>
  <c r="Y30" i="5"/>
  <c r="AK30" i="5" s="1"/>
  <c r="E21" i="10"/>
  <c r="E27" i="10"/>
  <c r="E7" i="10"/>
  <c r="E23" i="10"/>
  <c r="E11" i="10"/>
  <c r="B17" i="10"/>
  <c r="E17" i="10"/>
  <c r="E8" i="10"/>
  <c r="Y15" i="5"/>
  <c r="AK15" i="5" s="1"/>
  <c r="J43" i="5"/>
  <c r="F43" i="5"/>
  <c r="B43" i="5"/>
  <c r="H43" i="5"/>
  <c r="D43" i="5"/>
  <c r="H12" i="5"/>
  <c r="D12" i="5"/>
  <c r="K12" i="5"/>
  <c r="J12" i="5"/>
  <c r="B12" i="5"/>
  <c r="F12" i="5"/>
  <c r="J30" i="5"/>
  <c r="F30" i="5"/>
  <c r="B30" i="5"/>
  <c r="K30" i="5"/>
  <c r="H30" i="5"/>
  <c r="D30" i="5"/>
  <c r="H53" i="5"/>
  <c r="D53" i="5"/>
  <c r="F53" i="5"/>
  <c r="J53" i="5"/>
  <c r="B53" i="5"/>
  <c r="H47" i="5"/>
  <c r="D47" i="5"/>
  <c r="J47" i="5"/>
  <c r="B47" i="5"/>
  <c r="F47" i="5"/>
  <c r="K23" i="5"/>
  <c r="H23" i="5"/>
  <c r="D23" i="5"/>
  <c r="F23" i="5"/>
  <c r="J23" i="5"/>
  <c r="B23" i="5"/>
  <c r="H31" i="5"/>
  <c r="D31" i="5"/>
  <c r="K31" i="5"/>
  <c r="F31" i="5"/>
  <c r="J31" i="5"/>
  <c r="B31" i="5"/>
  <c r="H38" i="5"/>
  <c r="D38" i="5"/>
  <c r="F38" i="5"/>
  <c r="J38" i="5"/>
  <c r="B38" i="5"/>
  <c r="J8" i="5"/>
  <c r="F8" i="5"/>
  <c r="B8" i="5"/>
  <c r="H8" i="5"/>
  <c r="K8" i="5"/>
  <c r="D8" i="5"/>
  <c r="Y42" i="5"/>
  <c r="AK42" i="5" s="1"/>
  <c r="A38" i="5" l="1"/>
  <c r="C38" i="5"/>
  <c r="E38" i="5"/>
  <c r="G46" i="5"/>
  <c r="G47" i="5"/>
  <c r="E57" i="5"/>
  <c r="E49" i="5"/>
  <c r="G58" i="5"/>
  <c r="G44" i="5"/>
  <c r="E45" i="5"/>
  <c r="AL46" i="5"/>
  <c r="A37" i="5"/>
  <c r="AL29" i="5"/>
  <c r="I37" i="5"/>
  <c r="G37" i="5"/>
  <c r="C53" i="5"/>
  <c r="AL27" i="5"/>
  <c r="A53" i="5"/>
  <c r="G53" i="5"/>
  <c r="AL28" i="5"/>
  <c r="A29" i="5"/>
  <c r="G29" i="5"/>
  <c r="AL35" i="5"/>
  <c r="E43" i="5"/>
  <c r="AL20" i="5"/>
  <c r="AL42" i="5"/>
  <c r="AL32" i="5"/>
  <c r="AL18" i="5"/>
  <c r="E51" i="5"/>
  <c r="E50" i="5"/>
  <c r="E18" i="5"/>
  <c r="E28" i="5"/>
  <c r="G27" i="5"/>
  <c r="A27" i="5"/>
  <c r="G32" i="5"/>
  <c r="I18" i="5"/>
  <c r="E20" i="5"/>
  <c r="A28" i="5"/>
  <c r="AL50" i="5"/>
  <c r="AL51" i="5"/>
  <c r="AL52" i="5"/>
  <c r="E42" i="5"/>
  <c r="AL21" i="5"/>
  <c r="A48" i="5"/>
  <c r="A21" i="5"/>
  <c r="A17" i="10"/>
  <c r="C8" i="5"/>
  <c r="E8" i="5"/>
  <c r="A31" i="5"/>
  <c r="E31" i="5"/>
  <c r="C31" i="5"/>
  <c r="E23" i="5"/>
  <c r="C30" i="5"/>
  <c r="E30" i="5"/>
  <c r="E12" i="5"/>
  <c r="C12" i="5"/>
  <c r="E30" i="10"/>
  <c r="AL26" i="5"/>
  <c r="AL12" i="5"/>
  <c r="AL34" i="5"/>
  <c r="A22" i="5"/>
  <c r="AL8" i="5"/>
  <c r="AL40" i="5"/>
  <c r="C14" i="5"/>
  <c r="E14" i="5"/>
  <c r="A9" i="5"/>
  <c r="E9" i="5"/>
  <c r="AL17" i="5"/>
  <c r="C25" i="5"/>
  <c r="A11" i="5"/>
  <c r="I11" i="5"/>
  <c r="AL9" i="5"/>
  <c r="E40" i="5"/>
  <c r="E26" i="5"/>
  <c r="A33" i="5"/>
  <c r="C33" i="5"/>
  <c r="A56" i="5"/>
  <c r="E13" i="5"/>
  <c r="A17" i="5"/>
  <c r="K59" i="5"/>
  <c r="A15" i="5"/>
  <c r="A16" i="5"/>
  <c r="AL31" i="5"/>
  <c r="A36" i="5"/>
  <c r="G36" i="5"/>
  <c r="E19" i="5"/>
  <c r="AL13" i="5"/>
  <c r="A41" i="5"/>
  <c r="A30" i="5"/>
  <c r="A12" i="5"/>
  <c r="AL15" i="5"/>
  <c r="AL30" i="5"/>
  <c r="AL24" i="5"/>
  <c r="A7" i="5"/>
  <c r="E7" i="5"/>
  <c r="C7" i="5"/>
  <c r="AL16" i="5"/>
  <c r="E22" i="5"/>
  <c r="AL25" i="5"/>
  <c r="AL11" i="5"/>
  <c r="AL19" i="5"/>
  <c r="AL56" i="5"/>
  <c r="A14" i="5"/>
  <c r="I14" i="5"/>
  <c r="AL36" i="5"/>
  <c r="AL7" i="5"/>
  <c r="G54" i="5"/>
  <c r="G48" i="5"/>
  <c r="A25" i="5"/>
  <c r="E25" i="5"/>
  <c r="E11" i="5"/>
  <c r="AL41" i="5"/>
  <c r="AL22" i="5"/>
  <c r="C26" i="5"/>
  <c r="A26" i="5"/>
  <c r="E33" i="5"/>
  <c r="E56" i="5"/>
  <c r="A13" i="5"/>
  <c r="E17" i="5"/>
  <c r="C15" i="5"/>
  <c r="E15" i="5"/>
  <c r="AL33" i="5"/>
  <c r="A25" i="10"/>
  <c r="AL48" i="5"/>
  <c r="E39" i="5"/>
  <c r="E24" i="5"/>
  <c r="E21" i="5"/>
  <c r="G16" i="5"/>
  <c r="A10" i="5"/>
  <c r="E10" i="5"/>
  <c r="E34" i="5"/>
  <c r="A19" i="5"/>
  <c r="AL10" i="5"/>
  <c r="AL39" i="5"/>
  <c r="G41" i="5"/>
  <c r="AL23" i="5"/>
  <c r="E35" i="5"/>
  <c r="AL14" i="5"/>
  <c r="E55" i="5"/>
  <c r="J12" i="4"/>
  <c r="E59" i="5" l="1"/>
  <c r="C59" i="5"/>
  <c r="G59" i="5"/>
  <c r="I59" i="5"/>
  <c r="A30" i="10"/>
  <c r="A59" i="5"/>
  <c r="AC9" i="4"/>
  <c r="AE9" i="4"/>
  <c r="AD9" i="4"/>
  <c r="J9" i="4"/>
  <c r="AD23" i="4"/>
  <c r="AE23" i="4"/>
  <c r="J23" i="4"/>
  <c r="AC23" i="4"/>
  <c r="AD22" i="4"/>
  <c r="J22" i="4"/>
  <c r="AE22" i="4"/>
  <c r="AC22" i="4"/>
  <c r="AD32" i="4"/>
  <c r="J32" i="4"/>
  <c r="AE32" i="4"/>
  <c r="AC32" i="4"/>
  <c r="AE33" i="4"/>
  <c r="J33" i="4"/>
  <c r="AD33" i="4"/>
  <c r="AC33" i="4"/>
  <c r="AE54" i="4"/>
  <c r="J54" i="4"/>
  <c r="AD54" i="4"/>
  <c r="AC54" i="4"/>
  <c r="J13" i="4"/>
  <c r="AE13" i="4"/>
  <c r="AC13" i="4"/>
  <c r="AD13" i="4"/>
  <c r="J19" i="4"/>
  <c r="AE19" i="4"/>
  <c r="AD19" i="4"/>
  <c r="AC19" i="4"/>
  <c r="J20" i="4"/>
  <c r="AE20" i="4"/>
  <c r="AD20" i="4"/>
  <c r="AC20" i="4"/>
  <c r="J37" i="4"/>
  <c r="AE37" i="4"/>
  <c r="AD37" i="4"/>
  <c r="AC37" i="4"/>
  <c r="J39" i="4"/>
  <c r="AE39" i="4"/>
  <c r="AD39" i="4"/>
  <c r="AC39" i="4"/>
  <c r="J59" i="4"/>
  <c r="AC59" i="4"/>
  <c r="AE59" i="4"/>
  <c r="AD59" i="4"/>
  <c r="J16" i="4"/>
  <c r="AD16" i="4"/>
  <c r="AE16" i="4"/>
  <c r="AC16" i="4"/>
  <c r="J35" i="4"/>
  <c r="AC35" i="4"/>
  <c r="AE35" i="4"/>
  <c r="AD35" i="4"/>
  <c r="J41" i="4"/>
  <c r="AE41" i="4"/>
  <c r="AC41" i="4"/>
  <c r="AD41" i="4"/>
  <c r="J30" i="4"/>
  <c r="AC30" i="4"/>
  <c r="AE30" i="4"/>
  <c r="AD30" i="4"/>
  <c r="AC34" i="4"/>
  <c r="AE34" i="4"/>
  <c r="AD34" i="4"/>
  <c r="J34" i="4"/>
  <c r="J36" i="4"/>
  <c r="AE36" i="4"/>
  <c r="AD36" i="4"/>
  <c r="AC36" i="4"/>
  <c r="AD40" i="4"/>
  <c r="AE40" i="4"/>
  <c r="J40" i="4"/>
  <c r="AC40" i="4"/>
  <c r="AC60" i="4"/>
  <c r="AE60" i="4"/>
  <c r="AD60" i="4"/>
  <c r="J60" i="4"/>
  <c r="J57" i="4"/>
  <c r="AE57" i="4"/>
  <c r="AD57" i="4"/>
  <c r="AC57" i="4"/>
  <c r="J15" i="4"/>
  <c r="AE15" i="4"/>
  <c r="AD15" i="4"/>
  <c r="AC15" i="4"/>
  <c r="AE8" i="4"/>
  <c r="J8" i="4"/>
  <c r="AD8" i="4"/>
  <c r="AC8" i="4"/>
  <c r="AC14" i="4"/>
  <c r="AD14" i="4"/>
  <c r="AE14" i="4"/>
  <c r="J14" i="4"/>
  <c r="AC27" i="4"/>
  <c r="AD27" i="4"/>
  <c r="AE27" i="4"/>
  <c r="J27" i="4"/>
  <c r="AC10" i="4"/>
  <c r="AE10" i="4"/>
  <c r="AD10" i="4"/>
  <c r="J10" i="4"/>
  <c r="AD38" i="4"/>
  <c r="AE38" i="4"/>
  <c r="AC38" i="4"/>
  <c r="J38" i="4"/>
  <c r="AC58" i="4"/>
  <c r="AD58" i="4"/>
  <c r="J58" i="4"/>
  <c r="AE58" i="4"/>
  <c r="V63" i="4"/>
  <c r="AD12" i="4"/>
  <c r="AE12" i="4"/>
  <c r="AC12" i="4"/>
  <c r="AE11" i="4"/>
  <c r="AD11" i="4"/>
  <c r="J11" i="4"/>
  <c r="AC11" i="4"/>
  <c r="J25" i="4"/>
  <c r="AD25" i="4"/>
  <c r="AE25" i="4"/>
  <c r="AC25" i="4"/>
  <c r="J17" i="4"/>
  <c r="AD17" i="4"/>
  <c r="AE17" i="4"/>
  <c r="AC17" i="4"/>
  <c r="J18" i="4"/>
  <c r="AD18" i="4"/>
  <c r="AE18" i="4"/>
  <c r="AC18" i="4"/>
  <c r="J50" i="4"/>
  <c r="AE50" i="4"/>
  <c r="AD50" i="4"/>
  <c r="AC50" i="4"/>
  <c r="J47" i="4"/>
  <c r="AE47" i="4"/>
  <c r="AD47" i="4"/>
  <c r="AC47" i="4"/>
  <c r="J26" i="4"/>
  <c r="AC26" i="4"/>
  <c r="AD26" i="4"/>
  <c r="AE26" i="4"/>
  <c r="J61" i="4"/>
  <c r="AE61" i="4"/>
  <c r="AD61" i="4"/>
  <c r="AC61" i="4"/>
  <c r="AC28" i="4"/>
  <c r="AE28" i="4"/>
  <c r="AD28" i="4"/>
  <c r="J28" i="4"/>
  <c r="AE21" i="4"/>
  <c r="AD21" i="4"/>
  <c r="AC21" i="4"/>
  <c r="J21" i="4"/>
  <c r="J42" i="4"/>
  <c r="AE42" i="4"/>
  <c r="AD42" i="4"/>
  <c r="AC42" i="4"/>
  <c r="J45" i="4"/>
  <c r="AD45" i="4"/>
  <c r="AE45" i="4"/>
  <c r="AC45" i="4"/>
  <c r="AE44" i="4"/>
  <c r="AC44" i="4"/>
  <c r="AD44" i="4"/>
  <c r="J44" i="4"/>
  <c r="AE24" i="4"/>
  <c r="J24" i="4"/>
  <c r="AD24" i="4"/>
  <c r="AC24" i="4"/>
  <c r="J55" i="4"/>
  <c r="AC55" i="4"/>
  <c r="AE55" i="4"/>
  <c r="AD55" i="4"/>
  <c r="AD29" i="4"/>
  <c r="J29" i="4"/>
  <c r="AE29" i="4"/>
  <c r="AC29" i="4"/>
  <c r="AE14" i="40" l="1"/>
  <c r="AI15" i="40"/>
  <c r="AI17" i="40"/>
  <c r="AE10" i="40"/>
  <c r="AK15" i="40"/>
  <c r="AK17" i="40"/>
  <c r="AI10" i="40"/>
  <c r="AE9" i="40"/>
  <c r="AK10" i="40"/>
  <c r="AI8" i="40"/>
  <c r="AK8" i="40"/>
  <c r="AI9" i="40"/>
  <c r="AI16" i="40"/>
  <c r="AI7" i="40"/>
  <c r="AK14" i="40"/>
  <c r="AE8" i="40"/>
  <c r="AE15" i="40"/>
  <c r="AE17" i="40"/>
  <c r="AE7" i="40"/>
  <c r="AE16" i="40"/>
  <c r="AK7" i="40"/>
  <c r="AF18" i="28"/>
  <c r="AD18" i="28" s="1"/>
  <c r="I18" i="2"/>
  <c r="AF19" i="28"/>
  <c r="AD19" i="28" s="1"/>
  <c r="AF17" i="28"/>
  <c r="AD17" i="28" s="1"/>
  <c r="AF9" i="28"/>
  <c r="AD9" i="28" s="1"/>
  <c r="AF13" i="28"/>
  <c r="AD13" i="28" s="1"/>
  <c r="AF15" i="28"/>
  <c r="AD15" i="28" s="1"/>
  <c r="AF16" i="28"/>
  <c r="AD16" i="28" s="1"/>
  <c r="AF11" i="28"/>
  <c r="AD11" i="28" s="1"/>
  <c r="AF12" i="28"/>
  <c r="AD12" i="28" s="1"/>
  <c r="AF10" i="28"/>
  <c r="AD10" i="28" s="1"/>
  <c r="K24" i="4"/>
  <c r="N24" i="4"/>
  <c r="K45" i="4"/>
  <c r="N45" i="4"/>
  <c r="N42" i="4"/>
  <c r="K42" i="4"/>
  <c r="N21" i="4"/>
  <c r="K21" i="4"/>
  <c r="N28" i="4"/>
  <c r="K28" i="4"/>
  <c r="N50" i="4"/>
  <c r="K50" i="4"/>
  <c r="N18" i="4"/>
  <c r="K18" i="4"/>
  <c r="N25" i="4"/>
  <c r="K25" i="4"/>
  <c r="N11" i="4"/>
  <c r="K11" i="4"/>
  <c r="AE63" i="4"/>
  <c r="AD63" i="4"/>
  <c r="N57" i="4"/>
  <c r="K57" i="4"/>
  <c r="N36" i="4"/>
  <c r="K36" i="4"/>
  <c r="K30" i="4"/>
  <c r="N30" i="4"/>
  <c r="N59" i="4"/>
  <c r="K59" i="4"/>
  <c r="N37" i="4"/>
  <c r="K37" i="4"/>
  <c r="N20" i="4"/>
  <c r="K20" i="4"/>
  <c r="N19" i="4"/>
  <c r="K19" i="4"/>
  <c r="N44" i="4"/>
  <c r="K44" i="4"/>
  <c r="N12" i="4"/>
  <c r="K12" i="4"/>
  <c r="K58" i="4"/>
  <c r="N58" i="4"/>
  <c r="K38" i="4"/>
  <c r="N38" i="4"/>
  <c r="K10" i="4"/>
  <c r="N10" i="4"/>
  <c r="K27" i="4"/>
  <c r="N27" i="4"/>
  <c r="K14" i="4"/>
  <c r="N14" i="4"/>
  <c r="K8" i="4"/>
  <c r="N8" i="4"/>
  <c r="K15" i="4"/>
  <c r="N15" i="4"/>
  <c r="K60" i="4"/>
  <c r="N60" i="4"/>
  <c r="N34" i="4"/>
  <c r="K34" i="4"/>
  <c r="K41" i="4"/>
  <c r="N41" i="4"/>
  <c r="K35" i="4"/>
  <c r="N35" i="4"/>
  <c r="K16" i="4"/>
  <c r="N16" i="4"/>
  <c r="N39" i="4"/>
  <c r="K39" i="4"/>
  <c r="N13" i="4"/>
  <c r="K13" i="4"/>
  <c r="K54" i="4"/>
  <c r="N54" i="4"/>
  <c r="K32" i="4"/>
  <c r="N32" i="4"/>
  <c r="K22" i="4"/>
  <c r="N22" i="4"/>
  <c r="K23" i="4"/>
  <c r="N23" i="4"/>
  <c r="K9" i="4"/>
  <c r="N9" i="4"/>
  <c r="AD8" i="40" l="1"/>
  <c r="AD10" i="40"/>
  <c r="AD15" i="40"/>
  <c r="AD14" i="40"/>
  <c r="AD17" i="40"/>
  <c r="AD7" i="40"/>
  <c r="AD8" i="23" l="1"/>
  <c r="AM9" i="43"/>
  <c r="AK21" i="51"/>
  <c r="E63" i="4"/>
  <c r="AG21" i="39"/>
  <c r="AI7" i="49"/>
  <c r="N17" i="4"/>
  <c r="AF26" i="46"/>
  <c r="AD26" i="46" s="1"/>
  <c r="AG14" i="48"/>
  <c r="AD14" i="48" s="1"/>
  <c r="AF23" i="50"/>
  <c r="AD23" i="50" s="1"/>
  <c r="AG10" i="48"/>
  <c r="AD10" i="48" s="1"/>
  <c r="AF19" i="52"/>
  <c r="AD19" i="52" s="1"/>
  <c r="AF14" i="46"/>
  <c r="AD14" i="46" s="1"/>
  <c r="AK9" i="49"/>
  <c r="AD9" i="49" s="1"/>
  <c r="AG28" i="39"/>
  <c r="AD28" i="39" s="1"/>
  <c r="AG14" i="44"/>
  <c r="AD14" i="44" s="1"/>
  <c r="AK9" i="40"/>
  <c r="AD9" i="40" s="1"/>
  <c r="AF27" i="50"/>
  <c r="AD27" i="50" s="1"/>
  <c r="AG9" i="48"/>
  <c r="AD9" i="48" s="1"/>
  <c r="AF18" i="52"/>
  <c r="AD18" i="52" s="1"/>
  <c r="AF21" i="46"/>
  <c r="AD21" i="46" s="1"/>
  <c r="AF18" i="32"/>
  <c r="AD18" i="32" s="1"/>
  <c r="N26" i="4"/>
  <c r="AI14" i="51"/>
  <c r="AD14" i="51" s="1"/>
  <c r="AI16" i="43"/>
  <c r="AD16" i="43" s="1"/>
  <c r="AE21" i="39"/>
  <c r="AF28" i="46"/>
  <c r="AD28" i="46" s="1"/>
  <c r="AE21" i="51"/>
  <c r="AE20" i="48"/>
  <c r="AD20" i="48" s="1"/>
  <c r="AK23" i="43"/>
  <c r="AD23" i="43" s="1"/>
  <c r="AG13" i="45"/>
  <c r="AD13" i="45" s="1"/>
  <c r="AF15" i="50"/>
  <c r="AD15" i="50" s="1"/>
  <c r="AG23" i="44"/>
  <c r="AD23" i="44" s="1"/>
  <c r="AF15" i="32"/>
  <c r="AD15" i="32" s="1"/>
  <c r="AF26" i="52"/>
  <c r="AD26" i="52" s="1"/>
  <c r="AE7" i="49"/>
  <c r="AD7" i="49" s="1"/>
  <c r="AE16" i="44"/>
  <c r="AD16" i="44" s="1"/>
  <c r="AF14" i="28"/>
  <c r="AD14" i="28" s="1"/>
  <c r="AF14" i="50"/>
  <c r="AD14" i="50" s="1"/>
  <c r="AK16" i="40"/>
  <c r="AD16" i="40" s="1"/>
  <c r="AG30" i="44"/>
  <c r="AD30" i="44" s="1"/>
  <c r="N51" i="4"/>
  <c r="N29" i="4"/>
  <c r="N47" i="4"/>
  <c r="N62" i="4"/>
  <c r="AF29" i="52"/>
  <c r="AD29" i="52" s="1"/>
  <c r="N53" i="4"/>
  <c r="AK22" i="51"/>
  <c r="AD22" i="51" s="1"/>
  <c r="K47" i="4"/>
  <c r="K29" i="4"/>
  <c r="AE24" i="44"/>
  <c r="AD24" i="44" s="1"/>
  <c r="AF16" i="46"/>
  <c r="AD16" i="46" s="1"/>
  <c r="AF30" i="46"/>
  <c r="AD30" i="46" s="1"/>
  <c r="K51" i="4"/>
  <c r="AI21" i="43"/>
  <c r="AD21" i="43" s="1"/>
  <c r="N61" i="4"/>
  <c r="N55" i="4"/>
  <c r="N33" i="4"/>
  <c r="N40" i="4"/>
  <c r="K55" i="4"/>
  <c r="AE17" i="48"/>
  <c r="AD17" i="48" s="1"/>
  <c r="K53" i="4"/>
  <c r="K17" i="4"/>
  <c r="K62" i="4"/>
  <c r="K61" i="4"/>
  <c r="K33" i="4"/>
  <c r="K40" i="4"/>
  <c r="K26" i="4"/>
  <c r="AD21" i="51" l="1"/>
  <c r="AD21" i="39"/>
  <c r="L61" i="4"/>
  <c r="B61" i="4" s="1"/>
  <c r="L40" i="4"/>
  <c r="B40" i="4" s="1"/>
  <c r="L33" i="4"/>
  <c r="L26" i="4"/>
  <c r="O40" i="4"/>
  <c r="O55" i="4"/>
  <c r="L29" i="4"/>
  <c r="B29" i="4" s="1"/>
  <c r="L55" i="4"/>
  <c r="B55" i="4" s="1"/>
  <c r="O33" i="4"/>
  <c r="O61" i="4"/>
  <c r="L47" i="4"/>
  <c r="B47" i="4" s="1"/>
  <c r="O53" i="4"/>
  <c r="O47" i="4"/>
  <c r="L24" i="4"/>
  <c r="L35" i="4"/>
  <c r="L34" i="4"/>
  <c r="L59" i="4"/>
  <c r="L53" i="4"/>
  <c r="L16" i="4"/>
  <c r="L22" i="4"/>
  <c r="L46" i="4"/>
  <c r="L52" i="4"/>
  <c r="L48" i="4"/>
  <c r="L37" i="4"/>
  <c r="L20" i="4"/>
  <c r="O62" i="4"/>
  <c r="L18" i="4"/>
  <c r="O26" i="4"/>
  <c r="L14" i="4"/>
  <c r="L8" i="4"/>
  <c r="L23" i="4"/>
  <c r="L49" i="4"/>
  <c r="L54" i="4"/>
  <c r="L9" i="4"/>
  <c r="L38" i="4"/>
  <c r="L43" i="4"/>
  <c r="O51" i="4"/>
  <c r="O31" i="4"/>
  <c r="L62" i="4"/>
  <c r="L12" i="4"/>
  <c r="L30" i="4"/>
  <c r="L32" i="4"/>
  <c r="B26" i="4"/>
  <c r="B33" i="4"/>
  <c r="L17" i="4"/>
  <c r="L11" i="4"/>
  <c r="L42" i="4"/>
  <c r="L56" i="4"/>
  <c r="L57" i="4"/>
  <c r="L10" i="4"/>
  <c r="L44" i="4"/>
  <c r="L51" i="4"/>
  <c r="L45" i="4"/>
  <c r="L27" i="4"/>
  <c r="O29" i="4"/>
  <c r="L41" i="4"/>
  <c r="L31" i="4"/>
  <c r="L58" i="4"/>
  <c r="L50" i="4"/>
  <c r="L39" i="4"/>
  <c r="L25" i="4"/>
  <c r="L19" i="4"/>
  <c r="L28" i="4"/>
  <c r="L60" i="4"/>
  <c r="L13" i="4"/>
  <c r="L15" i="4"/>
  <c r="L36" i="4"/>
  <c r="L21" i="4"/>
  <c r="O41" i="4"/>
  <c r="O17" i="4"/>
  <c r="O8" i="4"/>
  <c r="O52" i="4"/>
  <c r="O35" i="4"/>
  <c r="O14" i="4"/>
  <c r="O44" i="4"/>
  <c r="O43" i="4"/>
  <c r="O37" i="4"/>
  <c r="O10" i="4"/>
  <c r="O11" i="4"/>
  <c r="O58" i="4"/>
  <c r="O9" i="4"/>
  <c r="O50" i="4"/>
  <c r="O25" i="4"/>
  <c r="O48" i="4"/>
  <c r="O13" i="4"/>
  <c r="O21" i="4"/>
  <c r="O28" i="4"/>
  <c r="O57" i="4"/>
  <c r="O60" i="4"/>
  <c r="O36" i="4"/>
  <c r="O46" i="4"/>
  <c r="O18" i="4"/>
  <c r="O39" i="4"/>
  <c r="O23" i="4"/>
  <c r="O32" i="4"/>
  <c r="O38" i="4"/>
  <c r="O56" i="4"/>
  <c r="O12" i="4"/>
  <c r="O15" i="4"/>
  <c r="O22" i="4"/>
  <c r="O19" i="4"/>
  <c r="O30" i="4"/>
  <c r="O42" i="4"/>
  <c r="O27" i="4"/>
  <c r="O20" i="4"/>
  <c r="O49" i="4"/>
  <c r="O24" i="4"/>
  <c r="O16" i="4"/>
  <c r="O54" i="4"/>
  <c r="O34" i="4"/>
  <c r="O59" i="4"/>
  <c r="O45" i="4"/>
  <c r="E29" i="4" l="1"/>
  <c r="E15" i="4"/>
  <c r="E60" i="4"/>
  <c r="E19" i="4"/>
  <c r="E39" i="4"/>
  <c r="E31" i="4"/>
  <c r="E27" i="4"/>
  <c r="E10" i="4"/>
  <c r="D10" i="4"/>
  <c r="E57" i="4"/>
  <c r="E56" i="4"/>
  <c r="E42" i="4"/>
  <c r="B17" i="4"/>
  <c r="E17" i="4"/>
  <c r="E30" i="4"/>
  <c r="E38" i="4"/>
  <c r="E54" i="4"/>
  <c r="E14" i="4"/>
  <c r="E18" i="4"/>
  <c r="E20" i="4"/>
  <c r="E52" i="4"/>
  <c r="E22" i="4"/>
  <c r="E53" i="4"/>
  <c r="B53" i="4"/>
  <c r="E59" i="4"/>
  <c r="E35" i="4"/>
  <c r="E26" i="4"/>
  <c r="E47" i="4"/>
  <c r="E21" i="4"/>
  <c r="E36" i="4"/>
  <c r="E13" i="4"/>
  <c r="E28" i="4"/>
  <c r="E25" i="4"/>
  <c r="E50" i="4"/>
  <c r="E58" i="4"/>
  <c r="E41" i="4"/>
  <c r="E45" i="4"/>
  <c r="E51" i="4"/>
  <c r="B51" i="4"/>
  <c r="E44" i="4"/>
  <c r="E11" i="4"/>
  <c r="E32" i="4"/>
  <c r="E12" i="4"/>
  <c r="E62" i="4"/>
  <c r="B62" i="4"/>
  <c r="E40" i="4"/>
  <c r="E43" i="4"/>
  <c r="E9" i="4"/>
  <c r="E49" i="4"/>
  <c r="E23" i="4"/>
  <c r="E8" i="4"/>
  <c r="E37" i="4"/>
  <c r="E48" i="4"/>
  <c r="D46" i="4"/>
  <c r="E46" i="4"/>
  <c r="D16" i="4"/>
  <c r="E16" i="4"/>
  <c r="E34" i="4"/>
  <c r="E24" i="4"/>
  <c r="E33" i="4"/>
  <c r="E61" i="4"/>
  <c r="E55" i="4"/>
  <c r="A47" i="4" l="1"/>
  <c r="A29" i="4"/>
  <c r="C16" i="4"/>
  <c r="A62" i="4"/>
  <c r="C46" i="4"/>
  <c r="A61" i="4"/>
  <c r="A51" i="4"/>
  <c r="A55" i="4"/>
  <c r="A53" i="4"/>
  <c r="A26" i="4"/>
  <c r="B63" i="4"/>
  <c r="A17" i="4"/>
  <c r="C10" i="4"/>
  <c r="A40" i="4"/>
  <c r="A33" i="4"/>
  <c r="C63" i="4" l="1"/>
  <c r="A63" i="4"/>
</calcChain>
</file>

<file path=xl/comments1.xml><?xml version="1.0" encoding="utf-8"?>
<comments xmlns="http://schemas.openxmlformats.org/spreadsheetml/2006/main">
  <authors>
    <author>Author</author>
  </authors>
  <commentList>
    <comment ref="I3" authorId="0">
      <text>
        <r>
          <rPr>
            <b/>
            <sz val="8"/>
            <color indexed="81"/>
            <rFont val="Tahoma"/>
            <family val="2"/>
            <charset val="186"/>
          </rPr>
          <t>Osalejate arv</t>
        </r>
      </text>
    </comment>
    <comment ref="F5" authorId="0">
      <text>
        <r>
          <rPr>
            <b/>
            <sz val="8"/>
            <color indexed="81"/>
            <rFont val="Tahoma"/>
            <family val="2"/>
            <charset val="186"/>
          </rPr>
          <t>Voka, Metsa 2
Voka staadion</t>
        </r>
      </text>
    </comment>
    <comment ref="F6" authorId="0">
      <text>
        <r>
          <rPr>
            <b/>
            <sz val="8"/>
            <color indexed="81"/>
            <rFont val="Tahoma"/>
            <family val="2"/>
            <charset val="186"/>
          </rPr>
          <t>Kohtla-Järve, Järveküla tee 44
Spordihoone taga</t>
        </r>
      </text>
    </comment>
    <comment ref="F7" authorId="0">
      <text>
        <r>
          <rPr>
            <b/>
            <sz val="8"/>
            <color indexed="81"/>
            <rFont val="Tahoma"/>
            <family val="2"/>
            <charset val="186"/>
          </rPr>
          <t>Voka, Metsa 2
Voka staadion</t>
        </r>
      </text>
    </comment>
    <comment ref="F8" authorId="0">
      <text>
        <r>
          <rPr>
            <b/>
            <sz val="8"/>
            <color indexed="81"/>
            <rFont val="Tahoma"/>
            <family val="2"/>
            <charset val="186"/>
          </rPr>
          <t>Voka, Metsa 2
Voka staadion</t>
        </r>
      </text>
    </comment>
    <comment ref="F9" authorId="0">
      <text>
        <r>
          <rPr>
            <b/>
            <sz val="8"/>
            <color indexed="81"/>
            <rFont val="Tahoma"/>
            <family val="2"/>
            <charset val="186"/>
          </rPr>
          <t>Voka, Metsa 2
Voka staadion</t>
        </r>
      </text>
    </comment>
    <comment ref="F10" authorId="0">
      <text>
        <r>
          <rPr>
            <b/>
            <sz val="8"/>
            <color indexed="81"/>
            <rFont val="Tahoma"/>
            <family val="2"/>
            <charset val="186"/>
          </rPr>
          <t>Voka, Metsa 2
Voka staadion</t>
        </r>
      </text>
    </comment>
    <comment ref="F12" authorId="0">
      <text>
        <r>
          <rPr>
            <b/>
            <sz val="8"/>
            <color indexed="81"/>
            <rFont val="Tahoma"/>
            <family val="2"/>
            <charset val="186"/>
          </rPr>
          <t>Voka, Metsa 2
Voka staadion</t>
        </r>
      </text>
    </comment>
    <comment ref="F13" authorId="0">
      <text>
        <r>
          <rPr>
            <b/>
            <sz val="8"/>
            <color indexed="81"/>
            <rFont val="Tahoma"/>
            <family val="2"/>
            <charset val="186"/>
          </rPr>
          <t>Kohtla-Järve, Järveküla tee 44
Spordihoone taga</t>
        </r>
      </text>
    </comment>
    <comment ref="F14" authorId="0">
      <text>
        <r>
          <rPr>
            <b/>
            <sz val="8"/>
            <color indexed="81"/>
            <rFont val="Tahoma"/>
            <family val="2"/>
            <charset val="186"/>
          </rPr>
          <t>Kohtla-Järve, Järveküla tee 44
Spordihoone taga</t>
        </r>
      </text>
    </comment>
    <comment ref="F15" authorId="0">
      <text>
        <r>
          <rPr>
            <b/>
            <sz val="8"/>
            <color indexed="81"/>
            <rFont val="Tahoma"/>
            <family val="2"/>
            <charset val="186"/>
          </rPr>
          <t>Kohtla-Järve, Järveküla tee 44
Spordihoone taga</t>
        </r>
      </text>
    </comment>
    <comment ref="H15" authorId="0">
      <text>
        <r>
          <rPr>
            <b/>
            <sz val="8"/>
            <color indexed="81"/>
            <rFont val="Tahoma"/>
            <family val="2"/>
            <charset val="186"/>
          </rPr>
          <t>Juunioridel 2 €</t>
        </r>
      </text>
    </comment>
    <comment ref="F16" authorId="0">
      <text>
        <r>
          <rPr>
            <b/>
            <sz val="8"/>
            <color indexed="81"/>
            <rFont val="Tahoma"/>
            <family val="2"/>
            <charset val="186"/>
          </rPr>
          <t>Kohtla-Järve, Järveküla tee 44
Spordihoone taga</t>
        </r>
      </text>
    </comment>
    <comment ref="H16" authorId="0">
      <text>
        <r>
          <rPr>
            <b/>
            <sz val="8"/>
            <color indexed="81"/>
            <rFont val="Tahoma"/>
            <family val="2"/>
            <charset val="186"/>
          </rPr>
          <t>Juunioridel 2 €</t>
        </r>
      </text>
    </comment>
    <comment ref="F17" authorId="0">
      <text>
        <r>
          <rPr>
            <b/>
            <sz val="8"/>
            <color indexed="81"/>
            <rFont val="Tahoma"/>
            <family val="2"/>
            <charset val="186"/>
          </rPr>
          <t>Voka, Metsa 2
Voka staadion</t>
        </r>
      </text>
    </comment>
    <comment ref="F18" authorId="0">
      <text>
        <r>
          <rPr>
            <b/>
            <sz val="8"/>
            <color indexed="81"/>
            <rFont val="Tahoma"/>
            <family val="2"/>
            <charset val="186"/>
          </rPr>
          <t>Voka, Metsa 2
Voka staadion</t>
        </r>
      </text>
    </comment>
    <comment ref="F19" authorId="0">
      <text>
        <r>
          <rPr>
            <b/>
            <sz val="8"/>
            <color indexed="81"/>
            <rFont val="Tahoma"/>
            <family val="2"/>
            <charset val="186"/>
          </rPr>
          <t>Kohtla-Järve, Järveküla tee 44
Spordihoone taga</t>
        </r>
      </text>
    </comment>
    <comment ref="F20" authorId="0">
      <text>
        <r>
          <rPr>
            <b/>
            <sz val="8"/>
            <color indexed="81"/>
            <rFont val="Tahoma"/>
            <family val="2"/>
            <charset val="186"/>
          </rPr>
          <t>Voka, Metsa 2
Voka staadion</t>
        </r>
      </text>
    </comment>
    <comment ref="F21" authorId="0">
      <text>
        <r>
          <rPr>
            <b/>
            <sz val="8"/>
            <color indexed="81"/>
            <rFont val="Tahoma"/>
            <family val="2"/>
            <charset val="186"/>
          </rPr>
          <t>Voka, Metsa 2
Voka staadion</t>
        </r>
      </text>
    </comment>
    <comment ref="F22" authorId="0">
      <text>
        <r>
          <rPr>
            <b/>
            <sz val="8"/>
            <color indexed="81"/>
            <rFont val="Tahoma"/>
            <family val="2"/>
            <charset val="186"/>
          </rPr>
          <t>Voka, Metsa 2
Voka staadion</t>
        </r>
      </text>
    </comment>
    <comment ref="F23" authorId="0">
      <text>
        <r>
          <rPr>
            <b/>
            <sz val="8"/>
            <color indexed="81"/>
            <rFont val="Tahoma"/>
            <family val="2"/>
            <charset val="186"/>
          </rPr>
          <t>Voka, Metsa 2
Voka staadion</t>
        </r>
      </text>
    </comment>
    <comment ref="F25" authorId="0">
      <text>
        <r>
          <rPr>
            <b/>
            <sz val="8"/>
            <color indexed="81"/>
            <rFont val="Tahoma"/>
            <family val="2"/>
            <charset val="186"/>
          </rPr>
          <t>Voka, Metsa 2
Voka staadion</t>
        </r>
      </text>
    </comment>
    <comment ref="F26" authorId="0">
      <text>
        <r>
          <rPr>
            <b/>
            <sz val="8"/>
            <color indexed="81"/>
            <rFont val="Tahoma"/>
            <family val="2"/>
            <charset val="186"/>
          </rPr>
          <t>Kohtla-Järve, Järveküla tee 44
Spordihoone taga</t>
        </r>
      </text>
    </comment>
    <comment ref="F27" authorId="0">
      <text>
        <r>
          <rPr>
            <b/>
            <sz val="8"/>
            <color indexed="81"/>
            <rFont val="Tahoma"/>
            <family val="2"/>
            <charset val="186"/>
          </rPr>
          <t>Voka, Metsa 2
Voka staadion</t>
        </r>
      </text>
    </comment>
    <comment ref="F28" authorId="0">
      <text>
        <r>
          <rPr>
            <b/>
            <sz val="8"/>
            <color indexed="81"/>
            <rFont val="Tahoma"/>
            <family val="2"/>
            <charset val="186"/>
          </rPr>
          <t>Kohtla-Järve, Järveküla tee 44
Spordihoone taga</t>
        </r>
      </text>
    </comment>
    <comment ref="F29" authorId="0">
      <text>
        <r>
          <rPr>
            <b/>
            <sz val="8"/>
            <color indexed="81"/>
            <rFont val="Tahoma"/>
            <family val="2"/>
            <charset val="186"/>
          </rPr>
          <t>Voka, Metsa 2
Voka staadion</t>
        </r>
      </text>
    </comment>
    <comment ref="H29" authorId="0">
      <text>
        <r>
          <rPr>
            <b/>
            <sz val="8"/>
            <color indexed="81"/>
            <rFont val="Tahoma"/>
            <family val="2"/>
            <charset val="186"/>
          </rPr>
          <t>Juunioridel 2 €
Eesti meistrivõistlustel osalemiseks peavad olema: 
 - petankeri litsents, 
 - võistluskuulid.</t>
        </r>
      </text>
    </comment>
    <comment ref="F30" authorId="0">
      <text>
        <r>
          <rPr>
            <b/>
            <sz val="8"/>
            <color indexed="81"/>
            <rFont val="Tahoma"/>
            <family val="2"/>
            <charset val="186"/>
          </rPr>
          <t>Voka, Metsa 2
Voka staadion</t>
        </r>
      </text>
    </comment>
    <comment ref="H30" authorId="0">
      <text>
        <r>
          <rPr>
            <b/>
            <sz val="8"/>
            <color indexed="81"/>
            <rFont val="Tahoma"/>
            <family val="2"/>
            <charset val="186"/>
          </rPr>
          <t>Juunioridel 2 €
Eesti meistrivõistlustel osalemiseks peavad olema: 
 - petankeri litsents, 
 - võistluskuulid.</t>
        </r>
      </text>
    </comment>
    <comment ref="F31" authorId="0">
      <text>
        <r>
          <rPr>
            <b/>
            <sz val="8"/>
            <color indexed="81"/>
            <rFont val="Tahoma"/>
            <family val="2"/>
            <charset val="186"/>
          </rPr>
          <t>Kohtla-Järve, Järveküla tee 44
Spordihoone taga</t>
        </r>
      </text>
    </comment>
    <comment ref="F32" authorId="0">
      <text>
        <r>
          <rPr>
            <b/>
            <sz val="8"/>
            <color indexed="81"/>
            <rFont val="Tahoma"/>
            <family val="2"/>
            <charset val="186"/>
          </rPr>
          <t>Voka, Metsa 2
Voka staadion</t>
        </r>
      </text>
    </comment>
    <comment ref="F35" authorId="0">
      <text>
        <r>
          <rPr>
            <b/>
            <sz val="8"/>
            <color indexed="81"/>
            <rFont val="Tahoma"/>
            <family val="2"/>
            <charset val="186"/>
          </rPr>
          <t>Voka, Metsa 2
Voka staadion</t>
        </r>
      </text>
    </comment>
    <comment ref="F36" authorId="0">
      <text>
        <r>
          <rPr>
            <b/>
            <sz val="8"/>
            <color indexed="81"/>
            <rFont val="Tahoma"/>
            <family val="2"/>
            <charset val="186"/>
          </rPr>
          <t>Voka, Metsa 2
Voka staadion</t>
        </r>
      </text>
    </comment>
    <comment ref="F37" authorId="0">
      <text>
        <r>
          <rPr>
            <b/>
            <sz val="8"/>
            <color indexed="81"/>
            <rFont val="Tahoma"/>
            <family val="2"/>
            <charset val="186"/>
          </rPr>
          <t>Kohtla-Järve, Järveküla tee 44
Spordihoone taga</t>
        </r>
      </text>
    </comment>
    <comment ref="F39" authorId="0">
      <text>
        <r>
          <rPr>
            <b/>
            <sz val="8"/>
            <color indexed="81"/>
            <rFont val="Tahoma"/>
            <family val="2"/>
            <charset val="186"/>
          </rPr>
          <t>Kohtla-Järve, Järveküla tee 44
Spordihoone taga</t>
        </r>
      </text>
    </comment>
    <comment ref="F40" authorId="0">
      <text>
        <r>
          <rPr>
            <b/>
            <sz val="8"/>
            <color indexed="81"/>
            <rFont val="Tahoma"/>
            <family val="2"/>
            <charset val="186"/>
          </rPr>
          <t>Voka, Metsa 2
Voka staadion</t>
        </r>
      </text>
    </comment>
    <comment ref="F41" authorId="0">
      <text>
        <r>
          <rPr>
            <b/>
            <sz val="8"/>
            <color indexed="81"/>
            <rFont val="Tahoma"/>
            <family val="2"/>
            <charset val="186"/>
          </rPr>
          <t>Voka, Narva mnt 2
Voka petangihall</t>
        </r>
      </text>
    </comment>
    <comment ref="F42" authorId="0">
      <text>
        <r>
          <rPr>
            <b/>
            <sz val="8"/>
            <color indexed="81"/>
            <rFont val="Tahoma"/>
            <family val="2"/>
            <charset val="186"/>
          </rPr>
          <t>Voka, Narva mnt 2
Voka petangihall</t>
        </r>
      </text>
    </comment>
    <comment ref="F44" authorId="0">
      <text>
        <r>
          <rPr>
            <b/>
            <sz val="8"/>
            <color indexed="81"/>
            <rFont val="Tahoma"/>
            <family val="2"/>
            <charset val="186"/>
          </rPr>
          <t>Voka, Narva mnt 2
Voka petangihall</t>
        </r>
      </text>
    </comment>
  </commentList>
</comments>
</file>

<file path=xl/comments10.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keskmist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 ref="P13" authorId="0">
      <text>
        <r>
          <rPr>
            <b/>
            <sz val="8"/>
            <color indexed="81"/>
            <rFont val="Tahoma"/>
            <family val="2"/>
            <charset val="186"/>
          </rPr>
          <t>Kogu turniiri jooksul mängitud mängude keskmist punktide SUHE</t>
        </r>
      </text>
    </comment>
    <comment ref="R13"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1.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2.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3.xml><?xml version="1.0" encoding="utf-8"?>
<comments xmlns="http://schemas.openxmlformats.org/spreadsheetml/2006/main">
  <authors>
    <author>Author</author>
  </authors>
  <commentList>
    <comment ref="AI1" authorId="0">
      <text>
        <r>
          <rPr>
            <b/>
            <sz val="8"/>
            <color indexed="81"/>
            <rFont val="Tahoma"/>
            <family val="2"/>
            <charset val="186"/>
          </rPr>
          <t>Koht - Punkte
  1. - 20 p
  2. - 19 p
  3. - 18 p
  4. - 17 p
  5. - 16 p
  6. - 15 p
  7. - 14 p
  8. - 13 p
  9. - 12 p
10. - 11 p
11. - 10 p
12. -   9 p
13. -   8 p
14. -   7 p
15. -   6 p
16. -   5 p
17. -   4 p
18. -   3 p
19. -   2 p
20… - 1 p
DSQ - 0 p</t>
        </r>
      </text>
    </comment>
    <comment ref="AW3" authorId="0">
      <text>
        <r>
          <rPr>
            <b/>
            <sz val="8"/>
            <color indexed="81"/>
            <rFont val="Tahoma"/>
            <family val="2"/>
            <charset val="186"/>
          </rPr>
          <t xml:space="preserve">Kehvemate tulemuste läbitõmbamise </t>
        </r>
        <r>
          <rPr>
            <b/>
            <strike/>
            <sz val="8"/>
            <color indexed="40"/>
            <rFont val="Tahoma"/>
            <family val="2"/>
            <charset val="186"/>
          </rPr>
          <t>format</t>
        </r>
        <r>
          <rPr>
            <b/>
            <sz val="8"/>
            <color indexed="81"/>
            <rFont val="Tahoma"/>
            <family val="2"/>
            <charset val="186"/>
          </rPr>
          <t xml:space="preserve"> kasutab seda veergu</t>
        </r>
      </text>
    </comment>
    <comment ref="A6" authorId="0">
      <text>
        <r>
          <rPr>
            <b/>
            <sz val="8"/>
            <color indexed="81"/>
            <rFont val="Tahoma"/>
            <family val="2"/>
            <charset val="186"/>
          </rPr>
          <t>Viru SK mängijad</t>
        </r>
        <r>
          <rPr>
            <sz val="8"/>
            <color indexed="81"/>
            <rFont val="Tahoma"/>
            <family val="2"/>
            <charset val="186"/>
          </rPr>
          <t xml:space="preserve">
</t>
        </r>
      </text>
    </comment>
    <comment ref="P6" authorId="0">
      <text>
        <r>
          <rPr>
            <b/>
            <sz val="8"/>
            <color indexed="81"/>
            <rFont val="Tahoma"/>
            <family val="2"/>
            <charset val="186"/>
          </rPr>
          <t>Kohalikud mängijad</t>
        </r>
        <r>
          <rPr>
            <sz val="8"/>
            <color indexed="81"/>
            <rFont val="Tahoma"/>
            <family val="2"/>
            <charset val="186"/>
          </rPr>
          <t xml:space="preserve">
</t>
        </r>
      </text>
    </comment>
    <comment ref="Q6" authorId="0">
      <text>
        <r>
          <rPr>
            <b/>
            <sz val="8"/>
            <color indexed="81"/>
            <rFont val="Tahoma"/>
            <family val="2"/>
            <charset val="186"/>
          </rPr>
          <t>Viru SK mängijad seisuga 16.02.2019</t>
        </r>
      </text>
    </comment>
    <comment ref="R6" authorId="0">
      <text>
        <r>
          <rPr>
            <b/>
            <sz val="8"/>
            <color indexed="81"/>
            <rFont val="Tahoma"/>
            <family val="2"/>
            <charset val="186"/>
          </rPr>
          <t>1 kehvem tulemus võetakse maha</t>
        </r>
      </text>
    </comment>
  </commentList>
</comments>
</file>

<file path=xl/comments14.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5.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16.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2.xml><?xml version="1.0" encoding="utf-8"?>
<comments xmlns="http://schemas.openxmlformats.org/spreadsheetml/2006/main">
  <authors>
    <author>Author</author>
    <author>Robert</author>
  </authors>
  <commentList>
    <comment ref="K7" authorId="0">
      <text>
        <r>
          <rPr>
            <b/>
            <sz val="8"/>
            <color indexed="81"/>
            <rFont val="Tahoma"/>
            <family val="2"/>
            <charset val="186"/>
          </rPr>
          <t>Harku, Pikk 19
Harku petangihall</t>
        </r>
      </text>
    </comment>
    <comment ref="M7" authorId="0">
      <text>
        <r>
          <rPr>
            <b/>
            <sz val="8"/>
            <color indexed="81"/>
            <rFont val="Tahoma"/>
            <family val="2"/>
            <charset val="186"/>
          </rPr>
          <t>Harku, Pikk 19
Harku petangihall</t>
        </r>
      </text>
    </comment>
    <comment ref="K13" authorId="0">
      <text>
        <r>
          <rPr>
            <b/>
            <sz val="8"/>
            <color indexed="81"/>
            <rFont val="Tahoma"/>
            <family val="2"/>
            <charset val="186"/>
          </rPr>
          <t>Harku, Pikk 19
Harku petangihall</t>
        </r>
      </text>
    </comment>
    <comment ref="K16" authorId="0">
      <text>
        <r>
          <rPr>
            <b/>
            <sz val="8"/>
            <color indexed="81"/>
            <rFont val="Tahoma"/>
            <family val="2"/>
            <charset val="186"/>
          </rPr>
          <t>Klubide sarjas osalemiseks peavad olema: 
 - petankeri litsents, 
 - võistluskuulid
 - ühtne võistlussärk.</t>
        </r>
      </text>
    </comment>
    <comment ref="M16" authorId="0">
      <text>
        <r>
          <rPr>
            <b/>
            <sz val="8"/>
            <color indexed="81"/>
            <rFont val="Tahoma"/>
            <family val="2"/>
            <charset val="186"/>
          </rPr>
          <t>Eesti sisemeistrivõistlustel osalemiseks olema: 
 - petankeri litsents, 
 - võistluskuulid.</t>
        </r>
      </text>
    </comment>
    <comment ref="M17" authorId="0">
      <text>
        <r>
          <rPr>
            <b/>
            <sz val="8"/>
            <color indexed="81"/>
            <rFont val="Tahoma"/>
            <family val="2"/>
            <charset val="186"/>
          </rPr>
          <t>5 paremat meest ja 5 paremat naist pääsevad Baltic Singel Mastersile (Lätis) 
27-28.06.2020</t>
        </r>
      </text>
    </comment>
    <comment ref="K18" authorId="0">
      <text>
        <r>
          <rPr>
            <b/>
            <sz val="8"/>
            <color indexed="81"/>
            <rFont val="Tahoma"/>
            <family val="2"/>
            <charset val="186"/>
          </rPr>
          <t>Harku, Pikk 19
Harku petangihall</t>
        </r>
      </text>
    </comment>
    <comment ref="M18" authorId="0">
      <text>
        <r>
          <rPr>
            <b/>
            <sz val="8"/>
            <color indexed="81"/>
            <rFont val="Tahoma"/>
            <family val="2"/>
            <charset val="186"/>
          </rPr>
          <t>Harku, Pikk 19
Harku petangihall</t>
        </r>
      </text>
    </comment>
    <comment ref="K21" authorId="0">
      <text>
        <r>
          <rPr>
            <b/>
            <sz val="8"/>
            <color indexed="81"/>
            <rFont val="Tahoma"/>
            <family val="2"/>
            <charset val="186"/>
          </rPr>
          <t>Voka, Metsa 2
Voka staadion</t>
        </r>
      </text>
    </comment>
    <comment ref="K22" authorId="0">
      <text>
        <r>
          <rPr>
            <b/>
            <sz val="8"/>
            <color indexed="81"/>
            <rFont val="Tahoma"/>
            <family val="2"/>
            <charset val="186"/>
          </rPr>
          <t>Klubide sarjas osalemiseks peavad olema: 
 - petankeri litsents, 
 - võistluskuulid
 - ühtne võistlussärk.</t>
        </r>
      </text>
    </comment>
    <comment ref="M22" authorId="0">
      <text>
        <r>
          <rPr>
            <b/>
            <sz val="8"/>
            <color indexed="81"/>
            <rFont val="Tahoma"/>
            <family val="2"/>
            <charset val="186"/>
          </rPr>
          <t>Eesti sisemeistrivõistlustel osalemiseks olema: 
 - petankeri litsents, 
 - võistluskuulid.</t>
        </r>
      </text>
    </comment>
    <comment ref="G24" authorId="0">
      <text>
        <r>
          <rPr>
            <b/>
            <sz val="8"/>
            <color indexed="81"/>
            <rFont val="Tahoma"/>
            <family val="2"/>
            <charset val="186"/>
          </rPr>
          <t>Kohtla-Järve, Järveküla tee 44
Spordihoone taga</t>
        </r>
      </text>
    </comment>
    <comment ref="K24" authorId="0">
      <text>
        <r>
          <rPr>
            <b/>
            <sz val="8"/>
            <color indexed="81"/>
            <rFont val="Tahoma"/>
            <family val="2"/>
            <charset val="186"/>
          </rPr>
          <t>Harku, Pikk 19
Harku petangihall</t>
        </r>
      </text>
    </comment>
    <comment ref="M24" authorId="0">
      <text>
        <r>
          <rPr>
            <b/>
            <sz val="8"/>
            <color indexed="81"/>
            <rFont val="Tahoma"/>
            <family val="2"/>
            <charset val="186"/>
          </rPr>
          <t>Harku, Pikk 19
Harku petangihall</t>
        </r>
      </text>
    </comment>
    <comment ref="K27" authorId="0">
      <text>
        <r>
          <rPr>
            <b/>
            <sz val="8"/>
            <color indexed="81"/>
            <rFont val="Tahoma"/>
            <family val="2"/>
            <charset val="186"/>
          </rPr>
          <t>Voka, Metsa 2
Voka staadion</t>
        </r>
      </text>
    </comment>
    <comment ref="E30" authorId="0">
      <text>
        <r>
          <rPr>
            <b/>
            <sz val="8"/>
            <color indexed="81"/>
            <rFont val="Tahoma"/>
            <family val="2"/>
            <charset val="186"/>
          </rPr>
          <t>Voka, Metsa 2
Voka staadion</t>
        </r>
      </text>
    </comment>
    <comment ref="M30" authorId="0">
      <text>
        <r>
          <rPr>
            <b/>
            <sz val="8"/>
            <color indexed="81"/>
            <rFont val="Tahoma"/>
            <family val="2"/>
            <charset val="186"/>
          </rPr>
          <t>Voka, Metsa 2
Voka staadion</t>
        </r>
      </text>
    </comment>
    <comment ref="K31" authorId="0">
      <text>
        <r>
          <rPr>
            <b/>
            <sz val="8"/>
            <color indexed="81"/>
            <rFont val="Tahoma"/>
            <family val="2"/>
            <charset val="186"/>
          </rPr>
          <t>Klubide sarjas osalemiseks peavad olema: 
 - petankeri litsents, 
 - võistluskuulid
 - ühtne võistlussärk.</t>
        </r>
      </text>
    </comment>
    <comment ref="M31" authorId="0">
      <text>
        <r>
          <rPr>
            <b/>
            <sz val="8"/>
            <color indexed="81"/>
            <rFont val="Tahoma"/>
            <family val="2"/>
            <charset val="186"/>
          </rPr>
          <t>Klubide sarjas osalemiseks peavad olema: 
 - petankeri litsents, 
 - võistluskuulid
 - ühtne võistlussärk.</t>
        </r>
      </text>
    </comment>
    <comment ref="K33" authorId="0">
      <text>
        <r>
          <rPr>
            <b/>
            <sz val="8"/>
            <color indexed="81"/>
            <rFont val="Tahoma"/>
            <family val="2"/>
            <charset val="186"/>
          </rPr>
          <t>Harku, Pikk 19
Harku petangihall</t>
        </r>
      </text>
    </comment>
    <comment ref="M33" authorId="0">
      <text>
        <r>
          <rPr>
            <b/>
            <sz val="8"/>
            <color indexed="81"/>
            <rFont val="Tahoma"/>
            <family val="2"/>
            <charset val="186"/>
          </rPr>
          <t>Harku, Pikk 19
Harku petangihall</t>
        </r>
      </text>
    </comment>
    <comment ref="K36" authorId="0">
      <text>
        <r>
          <rPr>
            <b/>
            <sz val="8"/>
            <color indexed="81"/>
            <rFont val="Tahoma"/>
            <family val="2"/>
            <charset val="186"/>
          </rPr>
          <t>Voka, Metsa 2
Voka staadion</t>
        </r>
      </text>
    </comment>
    <comment ref="E40" authorId="0">
      <text>
        <r>
          <rPr>
            <b/>
            <sz val="8"/>
            <color indexed="81"/>
            <rFont val="Tahoma"/>
            <family val="2"/>
            <charset val="186"/>
          </rPr>
          <t>Voka, Metsa 2
Voka staadion</t>
        </r>
      </text>
    </comment>
    <comment ref="G40" authorId="0">
      <text>
        <r>
          <rPr>
            <b/>
            <sz val="8"/>
            <color indexed="81"/>
            <rFont val="Tahoma"/>
            <family val="2"/>
            <charset val="186"/>
          </rPr>
          <t>Kohtla-Järve, Järveküla tee 44
Spordihoone taga</t>
        </r>
      </text>
    </comment>
    <comment ref="K40" authorId="0">
      <text>
        <r>
          <rPr>
            <b/>
            <sz val="8"/>
            <color indexed="81"/>
            <rFont val="Tahoma"/>
            <family val="2"/>
            <charset val="186"/>
          </rPr>
          <t>Metsa ja Jõe tänava ristist keerata Pedeli jõe poole</t>
        </r>
      </text>
    </comment>
    <comment ref="M40" authorId="0">
      <text>
        <r>
          <rPr>
            <b/>
            <sz val="8"/>
            <color indexed="81"/>
            <rFont val="Tahoma"/>
            <family val="2"/>
            <charset val="186"/>
          </rPr>
          <t>Kohtla-Järve, Järveküla tee 44
Spordihoone taga</t>
        </r>
      </text>
    </comment>
    <comment ref="K43" authorId="0">
      <text>
        <r>
          <rPr>
            <b/>
            <sz val="8"/>
            <color indexed="81"/>
            <rFont val="Tahoma"/>
            <family val="2"/>
            <charset val="186"/>
          </rPr>
          <t>Kohtla-Järve, Järveküla tee 44
Spordihoone taga</t>
        </r>
      </text>
    </comment>
    <comment ref="M43" authorId="0">
      <text>
        <r>
          <rPr>
            <b/>
            <sz val="8"/>
            <color indexed="81"/>
            <rFont val="Tahoma"/>
            <family val="2"/>
            <charset val="186"/>
          </rPr>
          <t>Kohtla-Järve, Järveküla tee 44
Spordihoone taga</t>
        </r>
      </text>
    </comment>
    <comment ref="M45" authorId="0">
      <text>
        <r>
          <rPr>
            <b/>
            <sz val="8"/>
            <color indexed="81"/>
            <rFont val="Tahoma"/>
            <family val="2"/>
            <charset val="186"/>
          </rPr>
          <t>5-liikmelised võistkonnad, kelle koosseisus on vähemalt 1 naine. 
Võistkonnas võib olla ka varumängija (6. liige), kuid iga mängu (ühe vastase vastu peetavad mängud) puhul peab võistkonnas olema vähemalt 1 naine.</t>
        </r>
      </text>
    </comment>
    <comment ref="E46" authorId="0">
      <text>
        <r>
          <rPr>
            <b/>
            <sz val="8"/>
            <color indexed="81"/>
            <rFont val="Tahoma"/>
            <family val="2"/>
            <charset val="186"/>
          </rPr>
          <t>Voka, Metsa 2
Voka staadion</t>
        </r>
      </text>
    </comment>
    <comment ref="K46" authorId="0">
      <text>
        <r>
          <rPr>
            <b/>
            <sz val="8"/>
            <color indexed="81"/>
            <rFont val="Tahoma"/>
            <family val="2"/>
            <charset val="186"/>
          </rPr>
          <t>Voka, Metsa 2
Voka staadion</t>
        </r>
      </text>
    </comment>
    <comment ref="M46" authorId="0">
      <text>
        <r>
          <rPr>
            <b/>
            <sz val="8"/>
            <color indexed="81"/>
            <rFont val="Tahoma"/>
            <family val="2"/>
            <charset val="186"/>
          </rPr>
          <t>Tartu, Lossi 25 
Toomkiriku varemed</t>
        </r>
      </text>
    </comment>
    <comment ref="S49" authorId="0">
      <text>
        <r>
          <rPr>
            <b/>
            <sz val="8"/>
            <color indexed="81"/>
            <rFont val="Tahoma"/>
            <family val="2"/>
            <charset val="186"/>
          </rPr>
          <t>Voka, Metsa 2
Voka staadion</t>
        </r>
      </text>
    </comment>
    <comment ref="C51" authorId="0">
      <text>
        <r>
          <rPr>
            <b/>
            <sz val="8"/>
            <color indexed="81"/>
            <rFont val="Tahoma"/>
            <family val="2"/>
            <charset val="186"/>
          </rPr>
          <t>Kohtla-Järve, Järveküla tee 44
Spordihoone taga</t>
        </r>
      </text>
    </comment>
    <comment ref="K52" authorId="0">
      <text>
        <r>
          <rPr>
            <b/>
            <sz val="8"/>
            <color indexed="81"/>
            <rFont val="Tahoma"/>
            <family val="2"/>
            <charset val="186"/>
          </rPr>
          <t>Voka, Metsa 2
Voka staadion</t>
        </r>
      </text>
    </comment>
    <comment ref="M52" authorId="0">
      <text>
        <r>
          <rPr>
            <b/>
            <sz val="8"/>
            <color indexed="81"/>
            <rFont val="Tahoma"/>
            <family val="2"/>
            <charset val="186"/>
          </rPr>
          <t>Voka, Metsa 2
Voka staadion</t>
        </r>
      </text>
    </comment>
    <comment ref="I54" authorId="0">
      <text>
        <r>
          <rPr>
            <b/>
            <sz val="8"/>
            <color indexed="81"/>
            <rFont val="Tahoma"/>
            <family val="2"/>
            <charset val="186"/>
          </rPr>
          <t>Eesti meistrivõistlustel osalemiseks peavad olema: 
 - petankeri litsents, 
 - võistluskuulid.</t>
        </r>
      </text>
    </comment>
    <comment ref="K54" authorId="0">
      <text>
        <r>
          <rPr>
            <b/>
            <sz val="8"/>
            <color indexed="81"/>
            <rFont val="Tahoma"/>
            <family val="2"/>
            <charset val="186"/>
          </rPr>
          <t>Eesti meistrivõistlustel osalemiseks peavad olema: 
 - petankeri litsents, 
 - võistluskuulid.</t>
        </r>
      </text>
    </comment>
    <comment ref="E56" authorId="0">
      <text>
        <r>
          <rPr>
            <b/>
            <sz val="8"/>
            <color indexed="81"/>
            <rFont val="Tahoma"/>
            <family val="2"/>
            <charset val="186"/>
          </rPr>
          <t>Voka, Metsa 2
Voka staadion</t>
        </r>
      </text>
    </comment>
    <comment ref="I56" authorId="0">
      <text>
        <r>
          <rPr>
            <b/>
            <sz val="8"/>
            <color indexed="81"/>
            <rFont val="Tahoma"/>
            <family val="2"/>
            <charset val="186"/>
          </rPr>
          <t>Kärdla, Nuutri 21 
Mängude maja</t>
        </r>
      </text>
    </comment>
    <comment ref="K56" authorId="0">
      <text>
        <r>
          <rPr>
            <b/>
            <sz val="8"/>
            <color indexed="81"/>
            <rFont val="Tahoma"/>
            <family val="2"/>
            <charset val="186"/>
          </rPr>
          <t>Kärdla, Nuutri 21 
Mängude maja</t>
        </r>
      </text>
    </comment>
    <comment ref="E59" authorId="0">
      <text>
        <r>
          <rPr>
            <b/>
            <sz val="8"/>
            <color indexed="81"/>
            <rFont val="Tahoma"/>
            <family val="2"/>
            <charset val="186"/>
          </rPr>
          <t>Voka, Metsa 2
Voka staadion</t>
        </r>
      </text>
    </comment>
    <comment ref="G59" authorId="0">
      <text>
        <r>
          <rPr>
            <b/>
            <sz val="8"/>
            <color indexed="81"/>
            <rFont val="Tahoma"/>
            <family val="2"/>
            <charset val="186"/>
          </rPr>
          <t>Kohtla-Järve, Järveküla tee 44
Spordihoone taga</t>
        </r>
      </text>
    </comment>
    <comment ref="K59" authorId="0">
      <text>
        <r>
          <rPr>
            <b/>
            <sz val="8"/>
            <color indexed="81"/>
            <rFont val="Tahoma"/>
            <family val="2"/>
            <charset val="186"/>
          </rPr>
          <t>Tartu, Tähe 103 
Forseliuse kooli staadion</t>
        </r>
      </text>
    </comment>
    <comment ref="M59" authorId="0">
      <text>
        <r>
          <rPr>
            <b/>
            <sz val="8"/>
            <color indexed="81"/>
            <rFont val="Tahoma"/>
            <family val="2"/>
            <charset val="186"/>
          </rPr>
          <t>Tartu, Tähe 103 
Forseliuse kooli staadion</t>
        </r>
      </text>
    </comment>
    <comment ref="K60" authorId="0">
      <text>
        <r>
          <rPr>
            <b/>
            <sz val="8"/>
            <color indexed="81"/>
            <rFont val="Tahoma"/>
            <family val="2"/>
            <charset val="186"/>
          </rPr>
          <t>Eesti meistrivõistlustel osalemiseks peavad olema: 
 - petankeri litsents, 
 - võistluskuulid.</t>
        </r>
      </text>
    </comment>
    <comment ref="M60" authorId="0">
      <text>
        <r>
          <rPr>
            <b/>
            <sz val="8"/>
            <color indexed="81"/>
            <rFont val="Tahoma"/>
            <family val="2"/>
            <charset val="186"/>
          </rPr>
          <t>Eesti meistrivõistlustel osalemiseks peavad olema: 
 - petankeri litsents, 
 - võistluskuulid.</t>
        </r>
      </text>
    </comment>
    <comment ref="E62" authorId="0">
      <text>
        <r>
          <rPr>
            <b/>
            <sz val="8"/>
            <color indexed="81"/>
            <rFont val="Tahoma"/>
            <family val="2"/>
            <charset val="186"/>
          </rPr>
          <t>Voka, Metsa 2
Voka staadion</t>
        </r>
      </text>
    </comment>
    <comment ref="G62" authorId="0">
      <text>
        <r>
          <rPr>
            <b/>
            <sz val="8"/>
            <color indexed="81"/>
            <rFont val="Tahoma"/>
            <family val="2"/>
            <charset val="186"/>
          </rPr>
          <t>Kohtla-Järve, Järveküla tee 44
Spordihoone taga</t>
        </r>
      </text>
    </comment>
    <comment ref="K62" authorId="0">
      <text>
        <r>
          <rPr>
            <b/>
            <sz val="8"/>
            <color indexed="81"/>
            <rFont val="Tahoma"/>
            <family val="2"/>
            <charset val="186"/>
          </rPr>
          <t>Voka, Metsa 2
Voka staadion</t>
        </r>
      </text>
    </comment>
    <comment ref="M62" authorId="0">
      <text>
        <r>
          <rPr>
            <b/>
            <sz val="8"/>
            <color indexed="81"/>
            <rFont val="Tahoma"/>
            <family val="2"/>
            <charset val="186"/>
          </rPr>
          <t>Voka, Metsa 2
Voka staadion</t>
        </r>
      </text>
    </comment>
    <comment ref="K63" authorId="0">
      <text>
        <r>
          <rPr>
            <b/>
            <sz val="8"/>
            <color indexed="81"/>
            <rFont val="Tahoma"/>
            <family val="2"/>
            <charset val="186"/>
          </rPr>
          <t>Eesti meistrivõistlustel osalemiseks peavad olema: 
 - petankeri litsents, 
 - võistluskuulid.</t>
        </r>
      </text>
    </comment>
    <comment ref="M63" authorId="0">
      <text>
        <r>
          <rPr>
            <b/>
            <sz val="8"/>
            <color indexed="81"/>
            <rFont val="Tahoma"/>
            <family val="2"/>
            <charset val="186"/>
          </rPr>
          <t>Eesti meistrivõistlustel osalemiseks peavad olema: 
 - petankeri litsents, 
 - võistluskuulid.</t>
        </r>
      </text>
    </comment>
    <comment ref="G65" authorId="0">
      <text>
        <r>
          <rPr>
            <b/>
            <sz val="8"/>
            <color indexed="81"/>
            <rFont val="Tahoma"/>
            <family val="2"/>
            <charset val="186"/>
          </rPr>
          <t>Kohtla-Järve, Järveküla tee 44
Spordihoone taga</t>
        </r>
      </text>
    </comment>
    <comment ref="K65" authorId="0">
      <text>
        <r>
          <rPr>
            <b/>
            <sz val="8"/>
            <color indexed="81"/>
            <rFont val="Tahoma"/>
            <family val="2"/>
            <charset val="186"/>
          </rPr>
          <t>Metsa ja Jõe tänava ristist keerata Pedeli jõe poole</t>
        </r>
      </text>
    </comment>
    <comment ref="M65" authorId="0">
      <text>
        <r>
          <rPr>
            <b/>
            <sz val="8"/>
            <color indexed="81"/>
            <rFont val="Tahoma"/>
            <family val="2"/>
            <charset val="186"/>
          </rPr>
          <t>Metsa ja Jõe tänava ristist keerata Pedeli jõe poole</t>
        </r>
      </text>
    </comment>
    <comment ref="K67" authorId="0">
      <text>
        <r>
          <rPr>
            <b/>
            <sz val="8"/>
            <color indexed="81"/>
            <rFont val="Tahoma"/>
            <family val="2"/>
            <charset val="186"/>
          </rPr>
          <t>Segatrio, võistkonna suurus kuni 4 mängijat (3+1 varumängija); korraga väljakul 3 mängijat, nendest 1 naine. Lubatud on üks vahetus mängus. 
Kasutada võib ka harrastuskuule.
Iga maakond võib välja panna kuni kaks võistkonda, kusjuures arvesse läheb parema võistkonna tulemus. Arvesse mitteminevad võistkonnad hoiavad kohad ja punktid kinni. Võistlussüsteem selgub peale võistkondade eelregistreerimist. 
Peakohtunik Vello Vasser.</t>
        </r>
      </text>
    </comment>
    <comment ref="M67" authorId="0">
      <text>
        <r>
          <rPr>
            <b/>
            <sz val="8"/>
            <color indexed="81"/>
            <rFont val="Tahoma"/>
            <family val="2"/>
            <charset val="186"/>
          </rPr>
          <t>Klubide karikal osalemiseks peavad olema: 
 - petankeri litsents, 
 - võistluskuulid
 - ühtne võistlussärk.</t>
        </r>
      </text>
    </comment>
    <comment ref="E68" authorId="0">
      <text>
        <r>
          <rPr>
            <b/>
            <sz val="8"/>
            <color indexed="81"/>
            <rFont val="Tahoma"/>
            <family val="2"/>
            <charset val="186"/>
          </rPr>
          <t>Voka, Metsa 2
Voka staadion</t>
        </r>
      </text>
    </comment>
    <comment ref="M69" authorId="1">
      <text>
        <r>
          <rPr>
            <b/>
            <sz val="8"/>
            <color indexed="81"/>
            <rFont val="Tahoma"/>
            <family val="2"/>
            <charset val="186"/>
          </rPr>
          <t>Valga maakond, 
Tõrva, Puiestee 1
Tõrva Gümnaasiumi parkla</t>
        </r>
      </text>
    </comment>
    <comment ref="K70" authorId="0">
      <text>
        <r>
          <rPr>
            <b/>
            <sz val="8"/>
            <color indexed="81"/>
            <rFont val="Tahoma"/>
            <family val="2"/>
            <charset val="186"/>
          </rPr>
          <t>Eesti meistrivõistlustel osalemiseks peavad olema: 
 - petankeri litsents, 
 - võistluskuulid.</t>
        </r>
      </text>
    </comment>
    <comment ref="M70" authorId="0">
      <text>
        <r>
          <rPr>
            <b/>
            <sz val="8"/>
            <color indexed="81"/>
            <rFont val="Tahoma"/>
            <family val="2"/>
            <charset val="186"/>
          </rPr>
          <t>Eesti meistrivõistlustel osalemiseks peavad olema: 
 - petankeri litsents, 
 - võistluskuulid.</t>
        </r>
      </text>
    </comment>
    <comment ref="K72" authorId="0">
      <text>
        <r>
          <rPr>
            <b/>
            <sz val="8"/>
            <color indexed="81"/>
            <rFont val="Tahoma"/>
            <family val="2"/>
            <charset val="186"/>
          </rPr>
          <t>Saku, Teaduse 2
Teaduse 2 maja taga asuv hokiväljak, kruusakate
12 väljakut</t>
        </r>
      </text>
    </comment>
    <comment ref="M72" authorId="0">
      <text>
        <r>
          <rPr>
            <b/>
            <sz val="8"/>
            <color indexed="81"/>
            <rFont val="Tahoma"/>
            <family val="2"/>
            <charset val="186"/>
          </rPr>
          <t>Saku, Teaduse 2
Teaduse 2 maja taga asuv hokiväljak, kruusakate
12 väljakut</t>
        </r>
      </text>
    </comment>
    <comment ref="E75" authorId="0">
      <text>
        <r>
          <rPr>
            <b/>
            <sz val="8"/>
            <color indexed="81"/>
            <rFont val="Tahoma"/>
            <family val="2"/>
            <charset val="186"/>
          </rPr>
          <t>Voka, Metsa 2
Voka staadion</t>
        </r>
      </text>
    </comment>
    <comment ref="K75" authorId="0">
      <text>
        <r>
          <rPr>
            <b/>
            <sz val="8"/>
            <color indexed="81"/>
            <rFont val="Tahoma"/>
            <family val="2"/>
            <charset val="186"/>
          </rPr>
          <t>Võru, Roosi 26a</t>
        </r>
      </text>
    </comment>
    <comment ref="J76" authorId="0">
      <text>
        <r>
          <rPr>
            <b/>
            <sz val="8"/>
            <color indexed="81"/>
            <rFont val="Tahoma"/>
            <family val="2"/>
            <charset val="186"/>
          </rPr>
          <t>Taasiseseisvumispäev</t>
        </r>
      </text>
    </comment>
    <comment ref="K78" authorId="1">
      <text>
        <r>
          <rPr>
            <b/>
            <sz val="8"/>
            <color indexed="81"/>
            <rFont val="Tahoma"/>
            <family val="2"/>
            <charset val="186"/>
          </rPr>
          <t>Läti, Upesciema stadions, Skolas iela 11</t>
        </r>
      </text>
    </comment>
    <comment ref="M78" authorId="1">
      <text>
        <r>
          <rPr>
            <b/>
            <sz val="8"/>
            <color indexed="81"/>
            <rFont val="Tahoma"/>
            <family val="2"/>
            <charset val="186"/>
          </rPr>
          <t>Läti, Upesciema stadions, Skolas iela 11</t>
        </r>
      </text>
    </comment>
    <comment ref="E81" authorId="0">
      <text>
        <r>
          <rPr>
            <b/>
            <sz val="8"/>
            <color indexed="81"/>
            <rFont val="Tahoma"/>
            <family val="2"/>
            <charset val="186"/>
          </rPr>
          <t>Voka, Narva mnt 2
Voka petangihall</t>
        </r>
      </text>
    </comment>
    <comment ref="M81" authorId="0">
      <text>
        <r>
          <rPr>
            <b/>
            <sz val="8"/>
            <color indexed="81"/>
            <rFont val="Tahoma"/>
            <family val="2"/>
            <charset val="186"/>
          </rPr>
          <t>Kohtla-Järve, Järveküla tee 44
Spordihoone taga</t>
        </r>
      </text>
    </comment>
    <comment ref="M85" authorId="0">
      <text>
        <r>
          <rPr>
            <b/>
            <sz val="8"/>
            <color indexed="81"/>
            <rFont val="Tahoma"/>
            <family val="2"/>
            <charset val="186"/>
          </rPr>
          <t>Kohtla-Järve, Järveküla tee 44
Spordihoone taga</t>
        </r>
      </text>
    </comment>
    <comment ref="M88" authorId="0">
      <text>
        <r>
          <rPr>
            <b/>
            <sz val="8"/>
            <color indexed="81"/>
            <rFont val="Tahoma"/>
            <family val="2"/>
            <charset val="186"/>
          </rPr>
          <t>Voka, Metsa 2
Voka staadion</t>
        </r>
      </text>
    </comment>
    <comment ref="M91" authorId="0">
      <text>
        <r>
          <rPr>
            <b/>
            <sz val="8"/>
            <color indexed="81"/>
            <rFont val="Tahoma"/>
            <family val="2"/>
            <charset val="186"/>
          </rPr>
          <t>Voka, Metsa 2
Voka staadion</t>
        </r>
      </text>
    </comment>
    <comment ref="M94" authorId="0">
      <text>
        <r>
          <rPr>
            <b/>
            <sz val="8"/>
            <color indexed="81"/>
            <rFont val="Tahoma"/>
            <family val="2"/>
            <charset val="186"/>
          </rPr>
          <t>Voka, Metsa 2
Voka staadion</t>
        </r>
      </text>
    </comment>
    <comment ref="K97" authorId="0">
      <text>
        <r>
          <rPr>
            <b/>
            <sz val="8"/>
            <color indexed="81"/>
            <rFont val="Tahoma"/>
            <family val="2"/>
            <charset val="186"/>
          </rPr>
          <t>Harku, Pikk 19
Harku petangihall</t>
        </r>
      </text>
    </comment>
    <comment ref="M97" authorId="0">
      <text>
        <r>
          <rPr>
            <b/>
            <sz val="8"/>
            <color indexed="81"/>
            <rFont val="Tahoma"/>
            <family val="2"/>
            <charset val="186"/>
          </rPr>
          <t>Harku, Pikk 19
Harku petangihall</t>
        </r>
      </text>
    </comment>
    <comment ref="K104" authorId="0">
      <text>
        <r>
          <rPr>
            <b/>
            <sz val="8"/>
            <color indexed="81"/>
            <rFont val="Tahoma"/>
            <family val="2"/>
            <charset val="186"/>
          </rPr>
          <t>Harku, Pikk 19
Harku petangihall</t>
        </r>
      </text>
    </comment>
    <comment ref="M104" authorId="0">
      <text>
        <r>
          <rPr>
            <b/>
            <sz val="8"/>
            <color indexed="81"/>
            <rFont val="Tahoma"/>
            <family val="2"/>
            <charset val="186"/>
          </rPr>
          <t>Harku, Pikk 19
Harku petangihall</t>
        </r>
      </text>
    </comment>
    <comment ref="M107" authorId="0">
      <text>
        <r>
          <rPr>
            <b/>
            <sz val="8"/>
            <color indexed="81"/>
            <rFont val="Tahoma"/>
            <family val="2"/>
            <charset val="186"/>
          </rPr>
          <t>Kohtla-Järve, Järveküla tee 44
Spordihoone taga</t>
        </r>
      </text>
    </comment>
    <comment ref="K110" authorId="0">
      <text>
        <r>
          <rPr>
            <b/>
            <sz val="8"/>
            <color indexed="81"/>
            <rFont val="Tahoma"/>
            <family val="2"/>
            <charset val="186"/>
          </rPr>
          <t>Harku, Pikk 19
Harku petangihall</t>
        </r>
      </text>
    </comment>
    <comment ref="M110" authorId="0">
      <text>
        <r>
          <rPr>
            <b/>
            <sz val="8"/>
            <color indexed="81"/>
            <rFont val="Tahoma"/>
            <family val="2"/>
            <charset val="186"/>
          </rPr>
          <t>Harku, Pikk 19
Harku petangihall</t>
        </r>
      </text>
    </comment>
    <comment ref="K111" authorId="0">
      <text>
        <r>
          <rPr>
            <b/>
            <sz val="8"/>
            <color indexed="81"/>
            <rFont val="Tahoma"/>
            <family val="2"/>
            <charset val="186"/>
          </rPr>
          <t>Eesti sisemeistrivõistlustel osalemiseks olema: 
 - petankeri litsents, 
 - võistluskuulid.</t>
        </r>
      </text>
    </comment>
    <comment ref="M111" authorId="0">
      <text>
        <r>
          <rPr>
            <b/>
            <sz val="8"/>
            <color indexed="81"/>
            <rFont val="Tahoma"/>
            <family val="2"/>
            <charset val="186"/>
          </rPr>
          <t>Eesti sisemeistrivõistlustel osalemiseks olema: 
 - petankeri litsents, 
 - võistluskuulid.</t>
        </r>
      </text>
    </comment>
    <comment ref="K113" authorId="0">
      <text>
        <r>
          <rPr>
            <b/>
            <sz val="8"/>
            <color indexed="81"/>
            <rFont val="Tahoma"/>
            <family val="2"/>
            <charset val="186"/>
          </rPr>
          <t>Harku, Pikk 19
Harku petangihall</t>
        </r>
      </text>
    </comment>
    <comment ref="M113" authorId="0">
      <text>
        <r>
          <rPr>
            <b/>
            <sz val="8"/>
            <color indexed="81"/>
            <rFont val="Tahoma"/>
            <family val="2"/>
            <charset val="186"/>
          </rPr>
          <t>Harku, Pikk 19
Harku petangihall</t>
        </r>
      </text>
    </comment>
    <comment ref="K121" authorId="0">
      <text>
        <r>
          <rPr>
            <b/>
            <sz val="8"/>
            <color indexed="81"/>
            <rFont val="Tahoma"/>
            <family val="2"/>
            <charset val="186"/>
          </rPr>
          <t>Eesti sisemeistrivõistlustel osalemiseks olema: 
 - petankeri litsents, 
 - võistluskuulid.</t>
        </r>
      </text>
    </comment>
    <comment ref="M121" authorId="0">
      <text>
        <r>
          <rPr>
            <b/>
            <sz val="8"/>
            <color indexed="81"/>
            <rFont val="Tahoma"/>
            <family val="2"/>
            <charset val="186"/>
          </rPr>
          <t>Eesti sisemeistrivõistlustel osalemiseks olema: 
 - petankeri litsents, 
 - võistluskuulid.</t>
        </r>
      </text>
    </comment>
    <comment ref="K123" authorId="0">
      <text>
        <r>
          <rPr>
            <b/>
            <sz val="8"/>
            <color indexed="81"/>
            <rFont val="Tahoma"/>
            <family val="2"/>
            <charset val="186"/>
          </rPr>
          <t>Harku, Pikk 19
Harku petangihall</t>
        </r>
      </text>
    </comment>
    <comment ref="M123" authorId="0">
      <text>
        <r>
          <rPr>
            <b/>
            <sz val="8"/>
            <color indexed="81"/>
            <rFont val="Tahoma"/>
            <family val="2"/>
            <charset val="186"/>
          </rPr>
          <t>Harku, Pikk 19
Harku petangihall</t>
        </r>
      </text>
    </comment>
    <comment ref="K130" authorId="0">
      <text>
        <r>
          <rPr>
            <b/>
            <sz val="8"/>
            <color indexed="81"/>
            <rFont val="Tahoma"/>
            <family val="2"/>
            <charset val="186"/>
          </rPr>
          <t>Harku, Pikk 19
Harku petangihall</t>
        </r>
      </text>
    </comment>
    <comment ref="M130" authorId="0">
      <text>
        <r>
          <rPr>
            <b/>
            <sz val="8"/>
            <color indexed="81"/>
            <rFont val="Tahoma"/>
            <family val="2"/>
            <charset val="186"/>
          </rPr>
          <t>Harku, Pikk 19
Harku petangihall</t>
        </r>
      </text>
    </comment>
  </commentList>
</comments>
</file>

<file path=xl/comments3.xml><?xml version="1.0" encoding="utf-8"?>
<comments xmlns="http://schemas.openxmlformats.org/spreadsheetml/2006/main">
  <authors>
    <author>Author</author>
  </authors>
  <commentList>
    <comment ref="AB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Q4" authorId="0">
      <text>
        <r>
          <rPr>
            <b/>
            <sz val="8"/>
            <color indexed="81"/>
            <rFont val="Tahoma"/>
            <family val="2"/>
            <charset val="186"/>
          </rPr>
          <t>Vokas</t>
        </r>
      </text>
    </comment>
    <comment ref="W4" authorId="0">
      <text>
        <r>
          <rPr>
            <b/>
            <sz val="8"/>
            <color indexed="81"/>
            <rFont val="Tahoma"/>
            <family val="2"/>
            <charset val="186"/>
          </rPr>
          <t>Jõhvis</t>
        </r>
      </text>
    </comment>
    <comment ref="AA4" authorId="0">
      <text>
        <r>
          <rPr>
            <b/>
            <sz val="8"/>
            <color indexed="81"/>
            <rFont val="Tahoma"/>
            <family val="2"/>
            <charset val="186"/>
          </rPr>
          <t>Kohtla-Järvel</t>
        </r>
      </text>
    </comment>
    <comment ref="AB4" authorId="0">
      <text>
        <r>
          <rPr>
            <b/>
            <sz val="8"/>
            <color indexed="81"/>
            <rFont val="Tahoma"/>
            <family val="2"/>
            <charset val="186"/>
          </rPr>
          <t>Kohtla-Järvel</t>
        </r>
      </text>
    </comment>
    <comment ref="E7" authorId="0">
      <text>
        <r>
          <rPr>
            <b/>
            <sz val="8"/>
            <color indexed="81"/>
            <rFont val="Tahoma"/>
            <family val="2"/>
            <charset val="186"/>
          </rPr>
          <t>Valem arvutab punktisumma järgi võistleja koha. 
Võrdse punktisumma korral annab kõrgema koha võistlejale, kellel on rohkem 40-t, siis rohkem 34-a, 30-t jne.
Valem töötab Microsoft ja WPS Office-ga. 
Vahel ei tööta Libre ja Open Office-ga.</t>
        </r>
      </text>
    </comment>
    <comment ref="I7" authorId="0">
      <text>
        <r>
          <rPr>
            <b/>
            <sz val="8"/>
            <color indexed="81"/>
            <rFont val="Tahoma"/>
            <family val="2"/>
            <charset val="186"/>
          </rPr>
          <t xml:space="preserve">Valem arvutab punktisumma ja võtab kehvemad tulemused maha.
Valem töötab Microsoft ja WPS Office-ga. 
Vahel ei tööta Libre ja Open Office-ga.
</t>
        </r>
      </text>
    </comment>
    <comment ref="AF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H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I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F24" authorId="0">
      <text>
        <r>
          <rPr>
            <b/>
            <sz val="8"/>
            <color indexed="81"/>
            <rFont val="Tahoma"/>
            <family val="2"/>
            <charset val="186"/>
          </rPr>
          <t>Aasta uustulnukas</t>
        </r>
      </text>
    </comment>
  </commentList>
</comments>
</file>

<file path=xl/comments4.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keskmist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 ref="P13" authorId="0">
      <text>
        <r>
          <rPr>
            <b/>
            <sz val="8"/>
            <color indexed="81"/>
            <rFont val="Tahoma"/>
            <family val="2"/>
            <charset val="186"/>
          </rPr>
          <t>Kogu turniiri jooksul mängitud mängude keskmist punktide SUHE</t>
        </r>
      </text>
    </comment>
    <comment ref="R13"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5.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6.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7.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8.xml><?xml version="1.0" encoding="utf-8"?>
<comments xmlns="http://schemas.openxmlformats.org/spreadsheetml/2006/main">
  <authors>
    <author>Author</author>
  </authors>
  <commentList>
    <comment ref="R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E6" authorId="0">
      <text>
        <r>
          <rPr>
            <b/>
            <sz val="8"/>
            <color indexed="81"/>
            <rFont val="Tahoma"/>
            <family val="2"/>
            <charset val="186"/>
          </rPr>
          <t>Valem arvutab punktisumma järgi võistleja koha. 
Võrdse punktisumma korral annab kõrgema koha võistlejale, kellel on rohkem 40-t, siis rohkem 34-a, 30-t jne.
Valem töötab Microsoft ja WPS Office-ga. 
Vahel ei tööta Libre ja Open Office-ga.</t>
        </r>
      </text>
    </comment>
    <comment ref="I6" authorId="0">
      <text>
        <r>
          <rPr>
            <b/>
            <sz val="8"/>
            <color indexed="81"/>
            <rFont val="Tahoma"/>
            <family val="2"/>
            <charset val="186"/>
          </rPr>
          <t xml:space="preserve">Valem arvutab punktisumma ja võtab kehvemad tulemused maha.
Valem töötab Microsoft ja WPS Office-ga. 
Vahel ei tööta Libre ja Open Office-ga.
</t>
        </r>
      </text>
    </comment>
  </commentList>
</comments>
</file>

<file path=xl/comments9.xml><?xml version="1.0" encoding="utf-8"?>
<comments xmlns="http://schemas.openxmlformats.org/spreadsheetml/2006/main">
  <authors>
    <author>Robert</author>
    <author>Author</author>
  </authors>
  <commentList>
    <comment ref="W17" authorId="0">
      <text>
        <r>
          <rPr>
            <b/>
            <sz val="8"/>
            <color indexed="81"/>
            <rFont val="Tahoma"/>
            <family val="2"/>
            <charset val="186"/>
          </rPr>
          <t>tegelikult oli Henril 17 punkti</t>
        </r>
      </text>
    </comment>
    <comment ref="Y20" authorId="1">
      <text>
        <r>
          <rPr>
            <b/>
            <sz val="8"/>
            <color indexed="81"/>
            <rFont val="Tahoma"/>
            <family val="2"/>
            <charset val="186"/>
          </rPr>
          <t>kahe veerandfinalisti võitja punktidele lisab 100.
paariliste esimesed saavad kohe 100, et mittte edasisaanute RANK algaks 5-st kohast, mitte 2-st</t>
        </r>
      </text>
    </comment>
  </commentList>
</comments>
</file>

<file path=xl/sharedStrings.xml><?xml version="1.0" encoding="utf-8"?>
<sst xmlns="http://schemas.openxmlformats.org/spreadsheetml/2006/main" count="4588" uniqueCount="544">
  <si>
    <t>Kuupäev</t>
  </si>
  <si>
    <t>Aeg</t>
  </si>
  <si>
    <t>Võistlus</t>
  </si>
  <si>
    <t>Mänguviis</t>
  </si>
  <si>
    <t>R</t>
  </si>
  <si>
    <t>Toimumiskoht</t>
  </si>
  <si>
    <t>Korraldaja</t>
  </si>
  <si>
    <t>T</t>
  </si>
  <si>
    <t>Osal</t>
  </si>
  <si>
    <t>Johannes Neiland</t>
  </si>
  <si>
    <t>11:00</t>
  </si>
  <si>
    <t>Trio</t>
  </si>
  <si>
    <t>Ivar Viljaste</t>
  </si>
  <si>
    <t>18:00</t>
  </si>
  <si>
    <t>Duo</t>
  </si>
  <si>
    <t>10:00</t>
  </si>
  <si>
    <t>EPKL</t>
  </si>
  <si>
    <t>K-Järve 18. KV 2. etapp</t>
  </si>
  <si>
    <t>Üksik</t>
  </si>
  <si>
    <t>K-Järve 18. KV 3. etapp</t>
  </si>
  <si>
    <t>Jaani pliks-plaks</t>
  </si>
  <si>
    <t>Toila vald, Johannes Neiland</t>
  </si>
  <si>
    <t>Ida-Virumaa MV</t>
  </si>
  <si>
    <t>Tulistamine</t>
  </si>
  <si>
    <t>K-Järve 20. MV</t>
  </si>
  <si>
    <t xml:space="preserve"> </t>
  </si>
  <si>
    <t>Hooaja lõpetamine (pliks-plaks)</t>
  </si>
  <si>
    <t>Ida-Viru reitinguvõistlused on rasvases trükis</t>
  </si>
  <si>
    <t xml:space="preserve">Voka karikavõistlused on rohelise taustaga. </t>
  </si>
  <si>
    <t>Finaali pääsemiseks on vajalik osavõtt vähemalt 3st etapist. Finaal mängitakse kahe kaotuse süsteemis üksimängus.</t>
  </si>
  <si>
    <t>Eesti reitingusarja võistlused on kollase taustaga</t>
  </si>
  <si>
    <t>Viimased muudatused on punasega</t>
  </si>
  <si>
    <t>Esmaspäev</t>
  </si>
  <si>
    <t>Teisipäev</t>
  </si>
  <si>
    <t>Kolmapäev</t>
  </si>
  <si>
    <t>Neljapäev</t>
  </si>
  <si>
    <t>Reede</t>
  </si>
  <si>
    <t>Laupäev</t>
  </si>
  <si>
    <t>Pühapäev</t>
  </si>
  <si>
    <t>1. etapp, TRIO</t>
  </si>
  <si>
    <t>1. etapp, DUO</t>
  </si>
  <si>
    <t>ÜKSIK, D, SD, T, ST</t>
  </si>
  <si>
    <t>2. etapp, DUO</t>
  </si>
  <si>
    <t>TRIO (m, n)</t>
  </si>
  <si>
    <t>TRIO</t>
  </si>
  <si>
    <t>DUO</t>
  </si>
  <si>
    <t>3. etapp, DUO</t>
  </si>
  <si>
    <t>3. etapp, ÜKSIK</t>
  </si>
  <si>
    <t>ÜKSIK</t>
  </si>
  <si>
    <t>4. etapp, DUO</t>
  </si>
  <si>
    <t>(18:00)</t>
  </si>
  <si>
    <t>ÜKSIK (m,n)</t>
  </si>
  <si>
    <t>TUL</t>
  </si>
  <si>
    <t>5. etapp, DUO</t>
  </si>
  <si>
    <t>mängud, SEGATRIO</t>
  </si>
  <si>
    <t>SEGADUO</t>
  </si>
  <si>
    <t>SEGATRIO</t>
  </si>
  <si>
    <t>6. etapp, DUO</t>
  </si>
  <si>
    <t>gud (35+), SEGATRIO</t>
  </si>
  <si>
    <t>7. etapp, DUO</t>
  </si>
  <si>
    <t>8. etapp, DUO</t>
  </si>
  <si>
    <t>9. etapp, DUO</t>
  </si>
  <si>
    <t>10. etapp, DUO</t>
  </si>
  <si>
    <t>(pliks-plaks), ÜKSIK</t>
  </si>
  <si>
    <t>Ida-Viru reitinguvõistlused on rasvases trükis ja sinise taustaga</t>
  </si>
  <si>
    <t xml:space="preserve">Voka karikavõistluste sari on rohelise taustaga. </t>
  </si>
  <si>
    <t>Rahvusvahelised ja katsevõistlused on sinisega ja kaldkirjas</t>
  </si>
  <si>
    <t>Eesti reitingus läheb arvesse 8 võistlust 12st  (4 reitinguvõistlust 8st + 5 Eesti MV-d 8st) + sisereiting</t>
  </si>
  <si>
    <t>Peida halli taustaga veerud</t>
  </si>
  <si>
    <t>Punktid</t>
  </si>
  <si>
    <t>Kuld</t>
  </si>
  <si>
    <t>Hõbe</t>
  </si>
  <si>
    <t>Pronks</t>
  </si>
  <si>
    <t>vasak täht on 40 punkti, järgmine 34 punkti jne</t>
  </si>
  <si>
    <t>kolm numbrit vasakul ja komakoht on punktisumma tekstina</t>
  </si>
  <si>
    <t>paremus- järjestus kasutab seda veergu</t>
  </si>
  <si>
    <t>nimed tähestiku järgi tagurpidi</t>
  </si>
  <si>
    <t>kolm numbrit paremal näitavad, mitmes on nimi tähestiku järgi tagant poolt</t>
  </si>
  <si>
    <t>sordi selle veeru järgi suuremast väiksemaks</t>
  </si>
  <si>
    <t>K-Järve KV</t>
  </si>
  <si>
    <t>Ida-Viru MV</t>
  </si>
  <si>
    <t>K-Järve MV</t>
  </si>
  <si>
    <t>Osalusi</t>
  </si>
  <si>
    <t>Medaleid</t>
  </si>
  <si>
    <t>Võite</t>
  </si>
  <si>
    <t>KOHT</t>
  </si>
  <si>
    <t>KOKKU</t>
  </si>
  <si>
    <t>***</t>
  </si>
  <si>
    <t>**</t>
  </si>
  <si>
    <t>*</t>
  </si>
  <si>
    <t>N</t>
  </si>
  <si>
    <t>J</t>
  </si>
  <si>
    <t>Üld</t>
  </si>
  <si>
    <t>Nimi</t>
  </si>
  <si>
    <t>K</t>
  </si>
  <si>
    <t>val 2</t>
  </si>
  <si>
    <t>val 1&amp;2</t>
  </si>
  <si>
    <t>jä 1&amp;2</t>
  </si>
  <si>
    <t>val 3</t>
  </si>
  <si>
    <t>val 1&amp;2&amp;3</t>
  </si>
  <si>
    <t>jä 1&amp;2&amp;3</t>
  </si>
  <si>
    <t>kehvim Trio</t>
  </si>
  <si>
    <t>kehvim Duo</t>
  </si>
  <si>
    <t>kehvim Üksik</t>
  </si>
  <si>
    <t>2. kehvim Üksik</t>
  </si>
  <si>
    <t>Oskar Sepp</t>
  </si>
  <si>
    <t>Jaan Sepp</t>
  </si>
  <si>
    <t>Matti Vinni</t>
  </si>
  <si>
    <t>Oleg Rõndenkov</t>
  </si>
  <si>
    <t>Elmo Lageda</t>
  </si>
  <si>
    <t>Kenneth Muusikus</t>
  </si>
  <si>
    <t>Tõnu Piik</t>
  </si>
  <si>
    <t>Andres Veski</t>
  </si>
  <si>
    <t>Mait Metsla</t>
  </si>
  <si>
    <t>Janek Tarto</t>
  </si>
  <si>
    <t>Aarne Välja</t>
  </si>
  <si>
    <t>Boriss Klubov</t>
  </si>
  <si>
    <t>Andrei Grintšak</t>
  </si>
  <si>
    <t>Svetlana Veski</t>
  </si>
  <si>
    <t>n</t>
  </si>
  <si>
    <t>Tõnu Kapper</t>
  </si>
  <si>
    <t>Argo Sepp</t>
  </si>
  <si>
    <t>Vladimir Ogneštšikov</t>
  </si>
  <si>
    <t>Kristo Viljaste</t>
  </si>
  <si>
    <t>Henri Mitt</t>
  </si>
  <si>
    <t>j</t>
  </si>
  <si>
    <t>Urmas Randlaine</t>
  </si>
  <si>
    <t>Oksana Rõndenkova</t>
  </si>
  <si>
    <t>Kalle Orro</t>
  </si>
  <si>
    <t>Enn Tokman</t>
  </si>
  <si>
    <t>Karla Purgats</t>
  </si>
  <si>
    <t>Aigi Orro</t>
  </si>
  <si>
    <t>Tõnis Anton</t>
  </si>
  <si>
    <t>Toomas Tedrekull</t>
  </si>
  <si>
    <t>Romek Tarto</t>
  </si>
  <si>
    <t>Kaspar Mänd</t>
  </si>
  <si>
    <t>Lemmit Toomra</t>
  </si>
  <si>
    <t>Ljudmila Varendi</t>
  </si>
  <si>
    <t>Viktor Švarõgin</t>
  </si>
  <si>
    <t>Jaan Saar</t>
  </si>
  <si>
    <t>Liidia Põllu</t>
  </si>
  <si>
    <t>Meelis Luud</t>
  </si>
  <si>
    <t>Illar Tõnurist</t>
  </si>
  <si>
    <t>Urmas Jõeäär</t>
  </si>
  <si>
    <t>Tarmo Bombe</t>
  </si>
  <si>
    <t>Tõnis Neiland</t>
  </si>
  <si>
    <t>Ülo Piik</t>
  </si>
  <si>
    <t>Emil Murzajev</t>
  </si>
  <si>
    <t>Sirje Viljaste</t>
  </si>
  <si>
    <t>Vello Vasser</t>
  </si>
  <si>
    <t>Marko Rooden</t>
  </si>
  <si>
    <t>Mikk Rooden</t>
  </si>
  <si>
    <t>Sander Rose</t>
  </si>
  <si>
    <t>Daniil Alekankin</t>
  </si>
  <si>
    <t>Heili Vasser</t>
  </si>
  <si>
    <t>Jüri Mitt</t>
  </si>
  <si>
    <t>Marta Bernat</t>
  </si>
  <si>
    <t>Melika Lehtla</t>
  </si>
  <si>
    <t>Mikk Neem</t>
  </si>
  <si>
    <t>Osalejaid</t>
  </si>
  <si>
    <t>Võistkondi</t>
  </si>
  <si>
    <t xml:space="preserve">Rasvases trükis on aasta uustulnuka tiitli kandidaadid (mängijad, kes pole kolmel eelmisel </t>
  </si>
  <si>
    <t>aastal mahtunud reitingus 30 parema hulka)</t>
  </si>
  <si>
    <t>Kaldkirjas on teiste maakondade mängijad</t>
  </si>
  <si>
    <t xml:space="preserve">  </t>
  </si>
  <si>
    <t>Finaal mängitakse kahe kaotuse süsteemis üksimängus.</t>
  </si>
  <si>
    <t>kehvemat tulemust võetakse maha</t>
  </si>
  <si>
    <t>vasak täht on 17 punkti, järgmine 16 punkti jne</t>
  </si>
  <si>
    <t>paremus-järjestus</t>
  </si>
  <si>
    <t>nimi tähestik</t>
  </si>
  <si>
    <t>kolm paremat numbrit näitavad mitmes on nimi tähestiku järgi</t>
  </si>
  <si>
    <t>sordi selle</t>
  </si>
  <si>
    <t>max 17 võistkonda</t>
  </si>
  <si>
    <t>kasutab</t>
  </si>
  <si>
    <t>järgi</t>
  </si>
  <si>
    <t>edasi/</t>
  </si>
  <si>
    <t>Viru SK</t>
  </si>
  <si>
    <t>Voka</t>
  </si>
  <si>
    <t>Kohalikud</t>
  </si>
  <si>
    <t>M</t>
  </si>
  <si>
    <t>Mehed</t>
  </si>
  <si>
    <t>Naised</t>
  </si>
  <si>
    <t>Juuniorid</t>
  </si>
  <si>
    <t>V</t>
  </si>
  <si>
    <t>val2</t>
  </si>
  <si>
    <t>jä val 1&amp;2</t>
  </si>
  <si>
    <t>val3</t>
  </si>
  <si>
    <t>jä val 1&amp;2&amp;3</t>
  </si>
  <si>
    <t>rank</t>
  </si>
  <si>
    <t>/koht</t>
  </si>
  <si>
    <t>v</t>
  </si>
  <si>
    <t>k</t>
  </si>
  <si>
    <t>m</t>
  </si>
  <si>
    <t>Peeter Rjabov</t>
  </si>
  <si>
    <t>Aleksander Korikov</t>
  </si>
  <si>
    <t>Aleksandr Tipakov</t>
  </si>
  <si>
    <t>Joana Taalberg</t>
  </si>
  <si>
    <t>Merilin Neiland</t>
  </si>
  <si>
    <t>Veroonika Mendes</t>
  </si>
  <si>
    <t>Kohalikud mängijad on rasvases trükis</t>
  </si>
  <si>
    <t>A</t>
  </si>
  <si>
    <t>B</t>
  </si>
  <si>
    <t>C</t>
  </si>
  <si>
    <t>D</t>
  </si>
  <si>
    <t>E</t>
  </si>
  <si>
    <t>F</t>
  </si>
  <si>
    <t>G</t>
  </si>
  <si>
    <t>H</t>
  </si>
  <si>
    <t>I</t>
  </si>
  <si>
    <t>L</t>
  </si>
  <si>
    <t>O</t>
  </si>
  <si>
    <t>P</t>
  </si>
  <si>
    <t>Q</t>
  </si>
  <si>
    <t>S</t>
  </si>
  <si>
    <t>U</t>
  </si>
  <si>
    <t>W</t>
  </si>
  <si>
    <t>X</t>
  </si>
  <si>
    <t>Y</t>
  </si>
  <si>
    <t>Z</t>
  </si>
  <si>
    <t>Etappide arvule vastav täht</t>
  </si>
  <si>
    <t>Ida-Viru punktid</t>
  </si>
  <si>
    <t>Kollase taustaga on põhitabelile lisatud punktid</t>
  </si>
  <si>
    <t>DSQ</t>
  </si>
  <si>
    <t>kaks tühikut - ei osalenud</t>
  </si>
  <si>
    <t>2019 ei kasuta seda lehte</t>
  </si>
  <si>
    <t>Voka punktid</t>
  </si>
  <si>
    <t>Kui osales 11 võistkonda, sai võitja 11 punkti</t>
  </si>
  <si>
    <t>Jussi turniiridel algavad kõik mängud seisult 1:1</t>
  </si>
  <si>
    <t>Võit</t>
  </si>
  <si>
    <t>punkti</t>
  </si>
  <si>
    <t>Viik</t>
  </si>
  <si>
    <t>Kui mängija nimi on vigane või puudub reitingutabelist, teeb punaseks</t>
  </si>
  <si>
    <t>Kaotus</t>
  </si>
  <si>
    <t>punktid</t>
  </si>
  <si>
    <t>enne 1 koma</t>
  </si>
  <si>
    <t>pärast 1 koma</t>
  </si>
  <si>
    <t>1 ja 2 koma vahel</t>
  </si>
  <si>
    <t>pärast 2 koma</t>
  </si>
  <si>
    <t>1. voor</t>
  </si>
  <si>
    <t>2. voor</t>
  </si>
  <si>
    <t>3. voor</t>
  </si>
  <si>
    <t>4. voor</t>
  </si>
  <si>
    <t>5. voor</t>
  </si>
  <si>
    <t>Buch</t>
  </si>
  <si>
    <t>Suhe</t>
  </si>
  <si>
    <t>kokku</t>
  </si>
  <si>
    <t>:</t>
  </si>
  <si>
    <t>KOHTLA-JÄRVE 18. KARIKAVÕISTLUSED 2019</t>
  </si>
  <si>
    <t>Kolme etapi tulemused liidetakse kokku</t>
  </si>
  <si>
    <t>Andrei Grintšak, Oleg Rõndenkov</t>
  </si>
  <si>
    <t>Tõnu Kapper, Vladimir Ogneštšikov</t>
  </si>
  <si>
    <t>Meelis Luud, Sander Rose</t>
  </si>
  <si>
    <t>Enn Tokman, Tarmo Bombe</t>
  </si>
  <si>
    <t>Oksana Rõndenkova, Oleg Rõndenkov</t>
  </si>
  <si>
    <t>Aarne Välja, Janek Tarto</t>
  </si>
  <si>
    <t>Andres Veski, Svetlana Veski</t>
  </si>
  <si>
    <t>Jaan Sepp, Oskar Sepp</t>
  </si>
  <si>
    <t>Illar Tõnurist, Jaan Saar</t>
  </si>
  <si>
    <t>Henri Mitt, Urmas Randlaine</t>
  </si>
  <si>
    <t>Karla Purgats, Lemmit Toomra</t>
  </si>
  <si>
    <t>Heili Vasser, Vello Vasser</t>
  </si>
  <si>
    <t>Kenneth Muusikus, Urmas Jõeäär</t>
  </si>
  <si>
    <t>Jaan Saar, Liidia Põllu</t>
  </si>
  <si>
    <t>Johannes Neiland, Kaspar Mänd</t>
  </si>
  <si>
    <t>V1 - VOKA 6. KV 1. ETAPP - DUO</t>
  </si>
  <si>
    <t>Toimumisaeg: K, 08.05.2019 kell 18:00</t>
  </si>
  <si>
    <t>Toimumiskoht: Voka staadion</t>
  </si>
  <si>
    <t>Korraldaja: Johannes Neiland</t>
  </si>
  <si>
    <t>Boriss Klubov, Elmo Lageda</t>
  </si>
  <si>
    <t>Ivar Viljaste, Kristo Viljaste</t>
  </si>
  <si>
    <t>Koht</t>
  </si>
  <si>
    <t>6. koht</t>
  </si>
  <si>
    <t>4. koht</t>
  </si>
  <si>
    <t>5. koht</t>
  </si>
  <si>
    <t>3. koht</t>
  </si>
  <si>
    <t>8. koht</t>
  </si>
  <si>
    <t>10. koht</t>
  </si>
  <si>
    <t>11. koht</t>
  </si>
  <si>
    <t>9. koht</t>
  </si>
  <si>
    <t>7. koht</t>
  </si>
  <si>
    <t>Ivar Viljaste, Sirje Viljaste</t>
  </si>
  <si>
    <r>
      <t>Koht</t>
    </r>
    <r>
      <rPr>
        <sz val="10"/>
        <color indexed="8"/>
        <rFont val="Arial"/>
        <family val="2"/>
        <charset val="186"/>
      </rPr>
      <t>/edasi</t>
    </r>
  </si>
  <si>
    <t>EELVOOR</t>
  </si>
  <si>
    <t>VEERANDFINAALID</t>
  </si>
  <si>
    <t>POOLFINAALID</t>
  </si>
  <si>
    <t>PRONKSIMÄNG</t>
  </si>
  <si>
    <t>FINAAL</t>
  </si>
  <si>
    <t>Üksiku</t>
  </si>
  <si>
    <t>V-K</t>
  </si>
  <si>
    <t>Vo</t>
  </si>
  <si>
    <t>V2</t>
  </si>
  <si>
    <t>+/- o</t>
  </si>
  <si>
    <t>V3</t>
  </si>
  <si>
    <t>'+/-</t>
  </si>
  <si>
    <t>suhe</t>
  </si>
  <si>
    <t>...,V3.+/-</t>
  </si>
  <si>
    <t>V,Vo</t>
  </si>
  <si>
    <t>2-5</t>
  </si>
  <si>
    <t>3-4</t>
  </si>
  <si>
    <t>1-5</t>
  </si>
  <si>
    <t>2-4</t>
  </si>
  <si>
    <t>1-4</t>
  </si>
  <si>
    <t>2-3</t>
  </si>
  <si>
    <t>1-3</t>
  </si>
  <si>
    <t>4-5</t>
  </si>
  <si>
    <t>1-2</t>
  </si>
  <si>
    <t>3-5</t>
  </si>
  <si>
    <t>1. koht</t>
  </si>
  <si>
    <t>2. koht</t>
  </si>
  <si>
    <t>2 ja 3 koma vahel</t>
  </si>
  <si>
    <t>pärast 3 koma</t>
  </si>
  <si>
    <t>V.Vo.V2.+/-</t>
  </si>
  <si>
    <t>1 - 4 koht</t>
  </si>
  <si>
    <t>A1</t>
  </si>
  <si>
    <t>B2</t>
  </si>
  <si>
    <t>B1</t>
  </si>
  <si>
    <t>A2</t>
  </si>
  <si>
    <t>5 - 8 koht</t>
  </si>
  <si>
    <t>A3</t>
  </si>
  <si>
    <t>B4</t>
  </si>
  <si>
    <t>B3</t>
  </si>
  <si>
    <t>A4</t>
  </si>
  <si>
    <t>+/-</t>
  </si>
  <si>
    <t>1 - 8 koht</t>
  </si>
  <si>
    <t>D1</t>
  </si>
  <si>
    <t>C2</t>
  </si>
  <si>
    <t>C1</t>
  </si>
  <si>
    <t>D2</t>
  </si>
  <si>
    <t>9 - 16 koht</t>
  </si>
  <si>
    <t>D3</t>
  </si>
  <si>
    <t>C4</t>
  </si>
  <si>
    <t>C3</t>
  </si>
  <si>
    <t>D4</t>
  </si>
  <si>
    <t>12. koht</t>
  </si>
  <si>
    <t>13. koht</t>
  </si>
  <si>
    <t>14. koht</t>
  </si>
  <si>
    <t>15. koht</t>
  </si>
  <si>
    <t>16. koht</t>
  </si>
  <si>
    <t>Ljudmila Varendi, Viktor Švarõgin</t>
  </si>
  <si>
    <t>IDA-VIRUMAA PETANGIREITING 2021</t>
  </si>
  <si>
    <t>EESTI JA IDA-VIRUMAA PETANGIKALENDER 2021</t>
  </si>
  <si>
    <t>Veebruar 2021</t>
  </si>
  <si>
    <t>eelring, TRIO</t>
  </si>
  <si>
    <t>poolfinaal, TRIO</t>
  </si>
  <si>
    <t>finaal, TRIO</t>
  </si>
  <si>
    <t>54. ESL Spordimän-</t>
  </si>
  <si>
    <r>
      <t xml:space="preserve">TRIO </t>
    </r>
    <r>
      <rPr>
        <sz val="10"/>
        <color theme="1"/>
        <rFont val="Arial"/>
        <family val="2"/>
        <charset val="186"/>
      </rPr>
      <t>(10:00)</t>
    </r>
  </si>
  <si>
    <t>IDA-VIRUMAA PETANGIKALENDER 2021</t>
  </si>
  <si>
    <t>Seisuga 29.09.2021</t>
  </si>
  <si>
    <t>Mai 2021</t>
  </si>
  <si>
    <t>Juuni 2021</t>
  </si>
  <si>
    <t>P, 23.06.2021</t>
  </si>
  <si>
    <t>Juuli 2021</t>
  </si>
  <si>
    <t>August 2021</t>
  </si>
  <si>
    <t>September 2021</t>
  </si>
  <si>
    <t>Oktoober 2021</t>
  </si>
  <si>
    <t>L, 08.05.2021</t>
  </si>
  <si>
    <t>N, 13.05.2021</t>
  </si>
  <si>
    <t>Voka VIII KV 1. etapp</t>
  </si>
  <si>
    <t>Voka VIII KV 2. etapp</t>
  </si>
  <si>
    <t>Voka VIII KV 3. etapp</t>
  </si>
  <si>
    <t>Voka VIII KV 4. etapp</t>
  </si>
  <si>
    <t>Voka VIII KV 5. etapp</t>
  </si>
  <si>
    <t>Voka VIII KV 6. etapp</t>
  </si>
  <si>
    <t>Voka VIII KV 7. etapp</t>
  </si>
  <si>
    <t>Voka VIII KV 8. etapp</t>
  </si>
  <si>
    <t>Voka VIII KV 9. etapp</t>
  </si>
  <si>
    <t>Voka VIII KV 10. etapp</t>
  </si>
  <si>
    <t>K-Järve 20. KV 1. etapp</t>
  </si>
  <si>
    <t>L, 15.05.2021</t>
  </si>
  <si>
    <t>K, 19.05.2021</t>
  </si>
  <si>
    <t>P, 23.05.2021</t>
  </si>
  <si>
    <t>L, 29.05.2021</t>
  </si>
  <si>
    <t>Toila valla lahtised MV</t>
  </si>
  <si>
    <t>K, 02.06.2021</t>
  </si>
  <si>
    <t>N, 03.06.2021</t>
  </si>
  <si>
    <t>P, 06.06.2021</t>
  </si>
  <si>
    <t>L, 12.06.2021</t>
  </si>
  <si>
    <t>P, 13.06.2021</t>
  </si>
  <si>
    <t>K, 16.06.2021</t>
  </si>
  <si>
    <t>L, 19.06.2021</t>
  </si>
  <si>
    <t>T, 22.06.2021</t>
  </si>
  <si>
    <t>L, 26.06.2021</t>
  </si>
  <si>
    <t>Toila valla MV (20. muruturniir)</t>
  </si>
  <si>
    <t>L, 27.06.2021</t>
  </si>
  <si>
    <t>K, 30.06.2021</t>
  </si>
  <si>
    <t>20.ESL individ-võistk MV (35+)</t>
  </si>
  <si>
    <t>N, 08.07.2021</t>
  </si>
  <si>
    <t>K-Järve 22. MV</t>
  </si>
  <si>
    <t>N, 15.07.2021</t>
  </si>
  <si>
    <t>K, 07.07.2021</t>
  </si>
  <si>
    <t>P, 29.08.2021</t>
  </si>
  <si>
    <t>N, 22.07.2021</t>
  </si>
  <si>
    <t>Narva linnus</t>
  </si>
  <si>
    <t>L, 17.07.2021</t>
  </si>
  <si>
    <t>P, 18.07.2021</t>
  </si>
  <si>
    <t>Segaduo</t>
  </si>
  <si>
    <t>ESL 54. spordimängud</t>
  </si>
  <si>
    <t>Segatrio</t>
  </si>
  <si>
    <t>November 2021</t>
  </si>
  <si>
    <t>MV</t>
  </si>
  <si>
    <t>Olav Türk</t>
  </si>
  <si>
    <t>K, 14.07.2021</t>
  </si>
  <si>
    <t>K, 28.07.2021</t>
  </si>
  <si>
    <t>L, 31.07.2021</t>
  </si>
  <si>
    <t>K, 11.08.2021</t>
  </si>
  <si>
    <t>K, 25.08.2021</t>
  </si>
  <si>
    <t>P, 05.09.2021</t>
  </si>
  <si>
    <t>P, 10.10.2021</t>
  </si>
  <si>
    <t>P, 12.09.2021</t>
  </si>
  <si>
    <t>P, 19.09.2021</t>
  </si>
  <si>
    <t>P, 25.09.2021</t>
  </si>
  <si>
    <t>Viru SK liikmete MV</t>
  </si>
  <si>
    <t>K O R O O N A P A U S</t>
  </si>
  <si>
    <t>TRIO+DUO</t>
  </si>
  <si>
    <t>Saku Jaaniturniir 2021</t>
  </si>
  <si>
    <t>Detsember 2021</t>
  </si>
  <si>
    <t>Kääriku</t>
  </si>
  <si>
    <t>teine link</t>
  </si>
  <si>
    <t>jrk nr</t>
  </si>
  <si>
    <t>ÜKSIK, D, SD, ST, T</t>
  </si>
  <si>
    <t>veebipõhine</t>
  </si>
  <si>
    <t>TRIO mehed</t>
  </si>
  <si>
    <t>ÜKSIK, D, SD, T</t>
  </si>
  <si>
    <t>Santa Susanna (Hispaania)</t>
  </si>
  <si>
    <t>Saint-Yrieix-surCharente (Prantsusmaa)</t>
  </si>
  <si>
    <t>link, tul</t>
  </si>
  <si>
    <t>MV (35+), ÜKSIK</t>
  </si>
  <si>
    <t>jrk nr, lingid, tul</t>
  </si>
  <si>
    <t>(20.muruturniir), ÜKSIK</t>
  </si>
  <si>
    <t>jrk</t>
  </si>
  <si>
    <t>Upesciems (Läti)</t>
  </si>
  <si>
    <t>Toila v MV</t>
  </si>
  <si>
    <t>Jaan Sepp, Matti Vinni, Oskar Sepp</t>
  </si>
  <si>
    <t>Boriss Klubov, Ivar Viljaste, Meelis Luud</t>
  </si>
  <si>
    <t>Andres Veski, Kaspar Mänd, Svetlana Veski</t>
  </si>
  <si>
    <t>Henri Mitt, Jaan Saar, Sander Rose</t>
  </si>
  <si>
    <t>Kenneth Muusikus, Olav Türk, Urmas Jõeäär</t>
  </si>
  <si>
    <t>Aarne Välja, Janek Tarto, Oleg Rõndenkov</t>
  </si>
  <si>
    <t>Elmo Lageda, Kalle Orro, Sirje Viljaste</t>
  </si>
  <si>
    <t>Lemmit Toomra, Tõnu Kapper, Vladimir Ogneštšikov</t>
  </si>
  <si>
    <t>Henri Mitt, Kenneth Muusikus</t>
  </si>
  <si>
    <t>Aarne Välja, Matti Vinni</t>
  </si>
  <si>
    <t>Ljudmila Varendi, Marta Bernat</t>
  </si>
  <si>
    <t>Andrei Grintšak, Emil Murzajev</t>
  </si>
  <si>
    <t>Kokku</t>
  </si>
  <si>
    <t>Tõnis Anton, Urmas Randlaine, Vladimir Ogneštšikov</t>
  </si>
  <si>
    <t>Ü, D, SD, T, ST</t>
  </si>
  <si>
    <t>jrk OK</t>
  </si>
  <si>
    <t>jrk nr OK</t>
  </si>
  <si>
    <t>VOKA 6. KARIKAVÕISTLUSED 2021</t>
  </si>
  <si>
    <t>Ivar Viljaste, Kristo Viljaste, Meelis Luud</t>
  </si>
  <si>
    <t>Henri Mitt, Jaan Sepp, Oskar Sepp</t>
  </si>
  <si>
    <t>Janek Tarto, Kenneth Muusikus, Oksana Rõndenkova, Oleg Rõndenkov</t>
  </si>
  <si>
    <t>Aarne Välja, Matti Vinni, Urmas Jõeäär</t>
  </si>
  <si>
    <t>Andrei Grintšak, Boriss Klubov, Elmo Lageda</t>
  </si>
  <si>
    <t>Aleksandr Tipakov, Ljudmila Varendi, Viktor Švarõgin</t>
  </si>
  <si>
    <t>Enn Tokman, Sander Rose, Urmas Randlaine</t>
  </si>
  <si>
    <t>Johannes Neiland, Oliver Ojasalu, Tõnis Neiland</t>
  </si>
  <si>
    <t>Illar Tõnurist, Jaan Saar, Tarmo Bombe</t>
  </si>
  <si>
    <t>Igor Kostin, Marta Ruus, Peeter Zirk</t>
  </si>
  <si>
    <t>Marta Ruus</t>
  </si>
  <si>
    <t>Peeter Zirk</t>
  </si>
  <si>
    <t>Igor Kostin</t>
  </si>
  <si>
    <t>Oliver Ojasalu</t>
  </si>
  <si>
    <t>Kaspar Mänd, Matti Vinni</t>
  </si>
  <si>
    <t>Enn Tokman, Lemmit Toomra, Tarmo Bombe</t>
  </si>
  <si>
    <t>Aleksandr Tipakov, Marta Bernat</t>
  </si>
  <si>
    <t>Kenneth Muusikus, Oleg Rõndenkov</t>
  </si>
  <si>
    <t>Kenneth Muusikus, Tõnis Neiland</t>
  </si>
  <si>
    <t>Henri Mitt, Sander Rose</t>
  </si>
  <si>
    <t>Imre Meller, Marko Rooden</t>
  </si>
  <si>
    <t>Johannes Neiland, Oliver Ojasalu</t>
  </si>
  <si>
    <t>Imre Meller</t>
  </si>
  <si>
    <t>Veronika Pirk</t>
  </si>
  <si>
    <t>Henri Mitt, Oleg Rõndenkov</t>
  </si>
  <si>
    <t>Kenneth Muusikus, Marta Bernat</t>
  </si>
  <si>
    <t>Aleksander Korikov, Oksana Rõndenkova</t>
  </si>
  <si>
    <t>Ljudmila Varendi, Marta Bernat, Viktor Švarõgin</t>
  </si>
  <si>
    <t>Henri Mitt, Kenneth Muusikus, Sander Rose</t>
  </si>
  <si>
    <t>Jaan Sepp, Lemmit Toomra, Tõnu Kapper</t>
  </si>
  <si>
    <t>Ivar Viljaste, Kristo Viljaste, Tõnu Kapper</t>
  </si>
  <si>
    <t>Aarne Välja, Oksana Rõndenkova, Oleg Rõndenkov</t>
  </si>
  <si>
    <t>Johannes Neiland, Kenneth Muusikus, Tõnis Neiland</t>
  </si>
  <si>
    <t>Kaspar Mänd, Olav Türk, Sander Rose</t>
  </si>
  <si>
    <t>Aigi Orro, Andres Veski, Svetlana Veski</t>
  </si>
  <si>
    <t>Illar Tõnurist, Jaan Saar, Sirje Maala</t>
  </si>
  <si>
    <t>Enn Tokman, Lemmit Toomra, Urmas Randlaine</t>
  </si>
  <si>
    <t>Sirje Maala</t>
  </si>
  <si>
    <t>Lemmit Toomra, Tõnu Kapper</t>
  </si>
  <si>
    <t>Aigi Orro, Kalle Orro</t>
  </si>
  <si>
    <t>Kaspar Mänd, Olav Türk</t>
  </si>
  <si>
    <t>Oliver Ojasalu, Tõnis Neiland</t>
  </si>
  <si>
    <t>Johannes Neiland, Sirje Maala</t>
  </si>
  <si>
    <t>Kaspar Mänd, Kenneth Muusikus</t>
  </si>
  <si>
    <t>Jaan Saar, Johannes Neiland</t>
  </si>
  <si>
    <t>Elmo Lageda, Vladimir Ogneštšikov</t>
  </si>
  <si>
    <t>Marko Rooden, Mikk Rooden</t>
  </si>
  <si>
    <t>Jaan Saar, Lemmit Toomra</t>
  </si>
  <si>
    <t>Andrei Grintšak, Daniil Alekankin</t>
  </si>
  <si>
    <t>Jaan Saar, Kenneth Muusikus</t>
  </si>
  <si>
    <t>Andres Veski, Enn Tokman</t>
  </si>
  <si>
    <t>Illar Tõnurist, Jüri Mitt</t>
  </si>
  <si>
    <t>Olav Türk, Urmas Jõeäär</t>
  </si>
  <si>
    <t>Kaspar Mänd, Oleg Rõndenkov</t>
  </si>
  <si>
    <t>Andrei Grintšak, Jaan Saar</t>
  </si>
  <si>
    <t>Andres Veski, Elmo Lageda</t>
  </si>
  <si>
    <t>Enn Tokman, Sirje Maala</t>
  </si>
  <si>
    <t>Hardi Ahman, Joana Taalberg</t>
  </si>
  <si>
    <t>Illar Tõnurist, Peeter Rjabov, Tarmo Bombe</t>
  </si>
  <si>
    <t>Hardi Ahman</t>
  </si>
  <si>
    <t>Kertu Palm, Valmar Pantšenko</t>
  </si>
  <si>
    <t>Jaan Saar, Johannes Neiland, Sirje Maala</t>
  </si>
  <si>
    <t>Olav Türk, Robert Kletenberg</t>
  </si>
  <si>
    <t>Kaspar Mänd, Veroonika Mendes</t>
  </si>
  <si>
    <t>Oliver Ojasalu, Urmas Jõeäär</t>
  </si>
  <si>
    <t>Mikk Neem, Sigrid Jeletski</t>
  </si>
  <si>
    <t>Kertu Palm</t>
  </si>
  <si>
    <t>Valmar Pantšenko</t>
  </si>
  <si>
    <t>Robert Kletenberg</t>
  </si>
  <si>
    <t>Sigrid Jeletski</t>
  </si>
  <si>
    <t>Kenneth Muusikus, Veroonika Mendes</t>
  </si>
  <si>
    <t>Kaspar Mänd, Urmas Randlaine</t>
  </si>
  <si>
    <t>Kristel Mark, Merilin Neiland</t>
  </si>
  <si>
    <t>Jaan Saar, Sirje Maala</t>
  </si>
  <si>
    <t>Kristel Mark</t>
  </si>
  <si>
    <t>Illar Tõnurist, Tarmo Bombe</t>
  </si>
  <si>
    <t>Aleksander Korikov, Kaspar Mänd</t>
  </si>
  <si>
    <t>Arvesse läheb 9 paremat tulemust 10st.</t>
  </si>
  <si>
    <t>Johannes Neiland, Olav Türk</t>
  </si>
  <si>
    <t>Meelis Luud, Vladimir Ogneštšikov</t>
  </si>
  <si>
    <t>Aleksander Korikov, Oksana Rõndenkova, Oleg Rõndenkov</t>
  </si>
  <si>
    <t>Kaspar Mänd, Sander Rose</t>
  </si>
  <si>
    <t>Olav Türk, Sirje Maala</t>
  </si>
  <si>
    <t>Henri Mitt, Matti Vinni</t>
  </si>
  <si>
    <t>Oleg Rõndenkov, Urmas</t>
  </si>
  <si>
    <t>Elmo Lageda, Jaan Saar</t>
  </si>
  <si>
    <t>Andrei Grintšak, Illar Tõnurist</t>
  </si>
  <si>
    <t>Andres Veski, Henri Mitt, Svetlana Veski</t>
  </si>
  <si>
    <t>Elmo Lageda, Illar Tõnurist, Sirje Maala</t>
  </si>
  <si>
    <t>Enn Tokman, Tarmo Bombe, Urmas Randlaine</t>
  </si>
  <si>
    <t>Kenneth Muusikus, Oksana Rõndenkova, Oleg Rõndenkov</t>
  </si>
  <si>
    <t xml:space="preserve">2021 aasta uustulnukaks ei saa kandideerida: </t>
  </si>
  <si>
    <t>Arvesse läheb 9 võistlust 13st (3 üksikmängu (sh tulistamine) 5st + 3 duot 4st + 3 triot 4st)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</si>
</sst>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 €&quot;"/>
    <numFmt numFmtId="165" formatCode="#,##0\ [$€-1]"/>
    <numFmt numFmtId="166" formatCode="0;\-0;;@"/>
    <numFmt numFmtId="167" formatCode="##&quot;.&quot;"/>
    <numFmt numFmtId="168" formatCode="\+0;\-0;0"/>
    <numFmt numFmtId="169" formatCode="0.0000"/>
  </numFmts>
  <fonts count="62" x14ac:knownFonts="1">
    <font>
      <sz val="10"/>
      <color theme="1"/>
      <name val="Arial"/>
      <family val="2"/>
      <charset val="186"/>
    </font>
    <font>
      <sz val="10"/>
      <color theme="1"/>
      <name val="Arial"/>
      <family val="2"/>
      <charset val="186"/>
    </font>
    <font>
      <b/>
      <sz val="10"/>
      <color theme="0"/>
      <name val="Arial"/>
      <family val="2"/>
      <charset val="186"/>
    </font>
    <font>
      <sz val="10"/>
      <color rgb="FFFF0000"/>
      <name val="Arial"/>
      <family val="2"/>
      <charset val="186"/>
    </font>
    <font>
      <b/>
      <sz val="10"/>
      <color theme="1"/>
      <name val="Arial"/>
      <family val="2"/>
      <charset val="186"/>
    </font>
    <font>
      <sz val="11"/>
      <color theme="1"/>
      <name val="Calibri"/>
      <family val="2"/>
      <charset val="186"/>
      <scheme val="minor"/>
    </font>
    <font>
      <u/>
      <sz val="10"/>
      <color theme="10"/>
      <name val="Arial"/>
      <family val="2"/>
      <charset val="186"/>
    </font>
    <font>
      <u/>
      <sz val="10"/>
      <color theme="1"/>
      <name val="Arial"/>
      <family val="2"/>
      <charset val="186"/>
    </font>
    <font>
      <sz val="10"/>
      <color rgb="FF000000"/>
      <name val="Times New Roman"/>
      <family val="1"/>
      <charset val="186"/>
    </font>
    <font>
      <u/>
      <sz val="10"/>
      <color theme="0" tint="-0.499984740745262"/>
      <name val="Arial"/>
      <family val="2"/>
      <charset val="186"/>
    </font>
    <font>
      <b/>
      <u/>
      <sz val="10"/>
      <color theme="10"/>
      <name val="Arial"/>
      <family val="2"/>
      <charset val="186"/>
    </font>
    <font>
      <sz val="10"/>
      <color rgb="FF0000FF"/>
      <name val="Arial"/>
      <family val="2"/>
      <charset val="186"/>
    </font>
    <font>
      <u/>
      <sz val="10"/>
      <color rgb="FF0000FF"/>
      <name val="Arial"/>
      <family val="2"/>
      <charset val="186"/>
    </font>
    <font>
      <u/>
      <sz val="11"/>
      <color theme="10"/>
      <name val="Calibri"/>
      <family val="2"/>
      <charset val="186"/>
      <scheme val="minor"/>
    </font>
    <font>
      <b/>
      <sz val="10"/>
      <color rgb="FF0070C0"/>
      <name val="Arial"/>
      <family val="2"/>
      <charset val="186"/>
    </font>
    <font>
      <b/>
      <u/>
      <sz val="10"/>
      <color theme="1"/>
      <name val="Arial"/>
      <family val="2"/>
      <charset val="186"/>
    </font>
    <font>
      <sz val="10"/>
      <name val="Arial"/>
      <family val="2"/>
      <charset val="204"/>
    </font>
    <font>
      <b/>
      <sz val="8"/>
      <color indexed="81"/>
      <name val="Tahoma"/>
      <family val="2"/>
      <charset val="186"/>
    </font>
    <font>
      <b/>
      <sz val="10"/>
      <color rgb="FFFF0000"/>
      <name val="Arial"/>
      <family val="2"/>
      <charset val="186"/>
    </font>
    <font>
      <i/>
      <sz val="10"/>
      <color theme="8" tint="0.39997558519241921"/>
      <name val="Arial"/>
      <family val="2"/>
      <charset val="186"/>
    </font>
    <font>
      <i/>
      <u/>
      <sz val="10"/>
      <color theme="8" tint="0.39997558519241921"/>
      <name val="Arial"/>
      <family val="2"/>
      <charset val="186"/>
    </font>
    <font>
      <sz val="10"/>
      <color theme="5" tint="0.39997558519241921"/>
      <name val="Arial"/>
      <family val="2"/>
      <charset val="186"/>
    </font>
    <font>
      <sz val="10"/>
      <color theme="4" tint="0.39997558519241921"/>
      <name val="Arial"/>
      <family val="2"/>
      <charset val="186"/>
    </font>
    <font>
      <b/>
      <sz val="10"/>
      <color indexed="8"/>
      <name val="Arial"/>
      <family val="2"/>
      <charset val="186"/>
    </font>
    <font>
      <i/>
      <sz val="10"/>
      <color theme="1"/>
      <name val="Arial"/>
      <family val="2"/>
      <charset val="186"/>
    </font>
    <font>
      <sz val="10"/>
      <color rgb="FFCC0000"/>
      <name val="Arial"/>
      <family val="2"/>
      <charset val="186"/>
    </font>
    <font>
      <sz val="11"/>
      <color theme="1"/>
      <name val="Calibri"/>
      <family val="2"/>
      <scheme val="minor"/>
    </font>
    <font>
      <b/>
      <sz val="10"/>
      <color theme="1"/>
      <name val="Calibri"/>
      <family val="2"/>
      <charset val="186"/>
      <scheme val="minor"/>
    </font>
    <font>
      <b/>
      <sz val="10"/>
      <color rgb="FFCC0000"/>
      <name val="Arial"/>
      <family val="2"/>
      <charset val="186"/>
    </font>
    <font>
      <b/>
      <sz val="10"/>
      <color rgb="FF00B050"/>
      <name val="Arial"/>
      <family val="2"/>
      <charset val="186"/>
    </font>
    <font>
      <sz val="10"/>
      <color rgb="FF00B050"/>
      <name val="Arial"/>
      <family val="2"/>
      <charset val="186"/>
    </font>
    <font>
      <sz val="10"/>
      <name val="Arial"/>
      <family val="2"/>
      <charset val="186"/>
    </font>
    <font>
      <sz val="10"/>
      <color theme="0" tint="-0.34998626667073579"/>
      <name val="Arial"/>
      <family val="2"/>
      <charset val="186"/>
    </font>
    <font>
      <sz val="11"/>
      <color indexed="8"/>
      <name val="Calibri"/>
      <family val="2"/>
      <charset val="186"/>
    </font>
    <font>
      <sz val="10"/>
      <color theme="0" tint="-0.249977111117893"/>
      <name val="Arial"/>
      <family val="2"/>
      <charset val="186"/>
    </font>
    <font>
      <sz val="10"/>
      <color rgb="FF0070C0"/>
      <name val="Arial"/>
      <family val="2"/>
      <charset val="186"/>
    </font>
    <font>
      <sz val="10"/>
      <color rgb="FF00B0F0"/>
      <name val="Arial"/>
      <family val="2"/>
      <charset val="186"/>
    </font>
    <font>
      <b/>
      <sz val="9"/>
      <color theme="1"/>
      <name val="Arial"/>
      <family val="2"/>
      <charset val="186"/>
    </font>
    <font>
      <b/>
      <sz val="9"/>
      <color rgb="FFCC0000"/>
      <name val="Arial"/>
      <family val="2"/>
      <charset val="186"/>
    </font>
    <font>
      <b/>
      <sz val="10"/>
      <color theme="0" tint="-0.34998626667073579"/>
      <name val="Arial"/>
      <family val="2"/>
      <charset val="186"/>
    </font>
    <font>
      <b/>
      <sz val="8"/>
      <color rgb="FF0070C0"/>
      <name val="Arial"/>
      <family val="2"/>
      <charset val="186"/>
    </font>
    <font>
      <b/>
      <sz val="8"/>
      <color theme="2" tint="-0.499984740745262"/>
      <name val="Arial"/>
      <family val="2"/>
      <charset val="186"/>
    </font>
    <font>
      <b/>
      <sz val="10"/>
      <color rgb="FF00B0F0"/>
      <name val="Arial"/>
      <family val="2"/>
      <charset val="186"/>
    </font>
    <font>
      <b/>
      <sz val="10"/>
      <color rgb="FFCC0066"/>
      <name val="Arial"/>
      <family val="2"/>
      <charset val="186"/>
    </font>
    <font>
      <b/>
      <sz val="10"/>
      <color theme="2" tint="-0.499984740745262"/>
      <name val="Arial"/>
      <family val="2"/>
      <charset val="186"/>
    </font>
    <font>
      <b/>
      <sz val="10"/>
      <color theme="0" tint="-0.249977111117893"/>
      <name val="Arial"/>
      <family val="2"/>
      <charset val="186"/>
    </font>
    <font>
      <sz val="10"/>
      <color theme="0" tint="-0.14999847407452621"/>
      <name val="Arial"/>
      <family val="2"/>
      <charset val="186"/>
    </font>
    <font>
      <b/>
      <sz val="10"/>
      <color theme="0" tint="-0.14999847407452621"/>
      <name val="Arial"/>
      <family val="2"/>
      <charset val="186"/>
    </font>
    <font>
      <b/>
      <strike/>
      <sz val="8"/>
      <color indexed="40"/>
      <name val="Tahoma"/>
      <family val="2"/>
      <charset val="186"/>
    </font>
    <font>
      <sz val="8"/>
      <color indexed="81"/>
      <name val="Tahoma"/>
      <family val="2"/>
      <charset val="186"/>
    </font>
    <font>
      <sz val="10"/>
      <color theme="0"/>
      <name val="Arial"/>
      <family val="2"/>
      <charset val="186"/>
    </font>
    <font>
      <sz val="10"/>
      <color indexed="8"/>
      <name val="Arial"/>
      <family val="2"/>
      <charset val="186"/>
    </font>
    <font>
      <sz val="10"/>
      <color indexed="8"/>
      <name val="Times New Roman"/>
      <family val="1"/>
      <charset val="186"/>
    </font>
    <font>
      <u/>
      <sz val="10"/>
      <color rgb="FF0070C0"/>
      <name val="Arial"/>
      <family val="2"/>
      <charset val="186"/>
    </font>
    <font>
      <u/>
      <sz val="10"/>
      <color theme="8" tint="0.39997558519241921"/>
      <name val="Arial"/>
      <family val="2"/>
      <charset val="186"/>
    </font>
    <font>
      <u/>
      <sz val="10"/>
      <name val="Arial"/>
      <family val="2"/>
      <charset val="186"/>
    </font>
    <font>
      <strike/>
      <u/>
      <sz val="10"/>
      <color theme="1"/>
      <name val="Arial"/>
      <family val="2"/>
      <charset val="186"/>
    </font>
    <font>
      <i/>
      <u/>
      <sz val="10"/>
      <color theme="1"/>
      <name val="Arial"/>
      <family val="2"/>
      <charset val="186"/>
    </font>
    <font>
      <b/>
      <u/>
      <sz val="10"/>
      <name val="Arial"/>
      <family val="2"/>
      <charset val="186"/>
    </font>
    <font>
      <b/>
      <sz val="10"/>
      <name val="Arial"/>
      <family val="2"/>
      <charset val="186"/>
    </font>
    <font>
      <i/>
      <strike/>
      <u/>
      <sz val="10"/>
      <color theme="8" tint="0.39997558519241921"/>
      <name val="Arial"/>
      <family val="2"/>
      <charset val="186"/>
    </font>
    <font>
      <i/>
      <strike/>
      <sz val="10"/>
      <color theme="8" tint="0.39997558519241921"/>
      <name val="Arial"/>
      <family val="2"/>
      <charset val="186"/>
    </font>
  </fonts>
  <fills count="26">
    <fill>
      <patternFill patternType="none"/>
    </fill>
    <fill>
      <patternFill patternType="gray125"/>
    </fill>
    <fill>
      <patternFill patternType="solid">
        <fgColor theme="0" tint="-0.14999847407452621"/>
        <bgColor indexed="64"/>
      </patternFill>
    </fill>
    <fill>
      <patternFill patternType="solid">
        <fgColor rgb="FFCCFF99"/>
        <bgColor indexed="64"/>
      </patternFill>
    </fill>
    <fill>
      <patternFill patternType="solid">
        <fgColor rgb="FFCCFFCC"/>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99"/>
        <bgColor indexed="64"/>
      </patternFill>
    </fill>
    <fill>
      <patternFill patternType="solid">
        <fgColor rgb="FF92D050"/>
        <bgColor indexed="64"/>
      </patternFill>
    </fill>
    <fill>
      <patternFill patternType="solid">
        <fgColor rgb="FFFFFFCC"/>
        <bgColor indexed="64"/>
      </patternFill>
    </fill>
    <fill>
      <patternFill patternType="solid">
        <fgColor rgb="FFFFFF00"/>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66"/>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CCCC"/>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indexed="65"/>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9999"/>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theme="0" tint="-0.24994659260841701"/>
      </left>
      <right/>
      <top/>
      <bottom style="thin">
        <color theme="0" tint="-0.24994659260841701"/>
      </bottom>
      <diagonal/>
    </border>
    <border>
      <left style="thin">
        <color theme="0" tint="-0.24994659260841701"/>
      </left>
      <right style="medium">
        <color rgb="FF000000"/>
      </right>
      <top/>
      <bottom style="thin">
        <color theme="0" tint="-0.24994659260841701"/>
      </bottom>
      <diagonal/>
    </border>
    <border>
      <left style="medium">
        <color rgb="FF000000"/>
      </left>
      <right/>
      <top/>
      <bottom/>
      <diagonal/>
    </border>
    <border>
      <left style="medium">
        <color auto="1"/>
      </left>
      <right/>
      <top style="medium">
        <color auto="1"/>
      </top>
      <bottom/>
      <diagonal/>
    </border>
    <border>
      <left style="thin">
        <color theme="0" tint="-0.24994659260841701"/>
      </left>
      <right style="medium">
        <color auto="1"/>
      </right>
      <top style="medium">
        <color auto="1"/>
      </top>
      <bottom style="thin">
        <color theme="0" tint="-0.24994659260841701"/>
      </bottom>
      <diagonal/>
    </border>
    <border>
      <left/>
      <right style="medium">
        <color auto="1"/>
      </right>
      <top/>
      <bottom/>
      <diagonal/>
    </border>
    <border>
      <left style="thin">
        <color theme="0" tint="-0.24994659260841701"/>
      </left>
      <right/>
      <top style="medium">
        <color rgb="FF000000"/>
      </top>
      <bottom style="thin">
        <color theme="0" tint="-0.24994659260841701"/>
      </bottom>
      <diagonal/>
    </border>
    <border>
      <left style="medium">
        <color auto="1"/>
      </left>
      <right/>
      <top/>
      <bottom/>
      <diagonal/>
    </border>
    <border>
      <left style="thin">
        <color theme="0" tint="-0.24994659260841701"/>
      </left>
      <right style="medium">
        <color auto="1"/>
      </right>
      <top/>
      <bottom style="thin">
        <color theme="0" tint="-0.24994659260841701"/>
      </bottom>
      <diagonal/>
    </border>
    <border>
      <left/>
      <right style="medium">
        <color rgb="FF000000"/>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000000"/>
      </left>
      <right/>
      <top/>
      <bottom style="medium">
        <color rgb="FF000000"/>
      </bottom>
      <diagonal/>
    </border>
    <border>
      <left/>
      <right/>
      <top/>
      <bottom style="medium">
        <color rgb="FF000000"/>
      </bottom>
      <diagonal/>
    </border>
    <border>
      <left style="medium">
        <color auto="1"/>
      </left>
      <right/>
      <top/>
      <bottom style="medium">
        <color rgb="FF000000"/>
      </bottom>
      <diagonal/>
    </border>
    <border>
      <left/>
      <right style="medium">
        <color rgb="FF000000"/>
      </right>
      <top/>
      <bottom style="medium">
        <color rgb="FF000000"/>
      </bottom>
      <diagonal/>
    </border>
    <border>
      <left/>
      <right style="medium">
        <color theme="1"/>
      </right>
      <top/>
      <bottom style="medium">
        <color rgb="FF000000"/>
      </bottom>
      <diagonal/>
    </border>
    <border>
      <left style="medium">
        <color rgb="FF000000"/>
      </left>
      <right/>
      <top/>
      <bottom style="dashDot">
        <color rgb="FF000000"/>
      </bottom>
      <diagonal/>
    </border>
    <border>
      <left style="medium">
        <color rgb="FF000000"/>
      </left>
      <right/>
      <top style="dashDot">
        <color rgb="FF000000"/>
      </top>
      <bottom/>
      <diagonal/>
    </border>
    <border>
      <left/>
      <right/>
      <top style="dashDot">
        <color rgb="FF000000"/>
      </top>
      <bottom/>
      <diagonal/>
    </border>
    <border>
      <left style="thin">
        <color theme="0" tint="-0.24994659260841701"/>
      </left>
      <right style="thick">
        <color rgb="FF000000"/>
      </right>
      <top style="medium">
        <color rgb="FF000000"/>
      </top>
      <bottom style="thin">
        <color theme="0" tint="-0.24994659260841701"/>
      </bottom>
      <diagonal/>
    </border>
    <border>
      <left/>
      <right style="thick">
        <color rgb="FF000000"/>
      </right>
      <top/>
      <bottom/>
      <diagonal/>
    </border>
    <border>
      <left/>
      <right style="medium">
        <color auto="1"/>
      </right>
      <top/>
      <bottom style="medium">
        <color rgb="FF000000"/>
      </bottom>
      <diagonal/>
    </border>
    <border>
      <left/>
      <right style="thick">
        <color rgb="FF000000"/>
      </right>
      <top/>
      <bottom style="medium">
        <color rgb="FF000000"/>
      </bottom>
      <diagonal/>
    </border>
    <border>
      <left/>
      <right/>
      <top style="medium">
        <color rgb="FF000000"/>
      </top>
      <bottom/>
      <diagonal/>
    </border>
    <border>
      <left style="thin">
        <color theme="0" tint="-0.24994659260841701"/>
      </left>
      <right style="medium">
        <color rgb="FF000000"/>
      </right>
      <top style="medium">
        <color rgb="FF000000"/>
      </top>
      <bottom style="thin">
        <color theme="0" tint="-0.24994659260841701"/>
      </bottom>
      <diagonal/>
    </border>
    <border>
      <left/>
      <right style="medium">
        <color rgb="FF000000"/>
      </right>
      <top style="dashDot">
        <color rgb="FF000000"/>
      </top>
      <bottom/>
      <diagonal/>
    </border>
    <border>
      <left style="thin">
        <color theme="0" tint="-0.24994659260841701"/>
      </left>
      <right/>
      <top style="medium">
        <color auto="1"/>
      </top>
      <bottom style="thin">
        <color theme="0" tint="-0.24994659260841701"/>
      </bottom>
      <diagonal/>
    </border>
    <border>
      <left style="thin">
        <color theme="0" tint="-0.24994659260841701"/>
      </left>
      <right style="medium">
        <color rgb="FF000000"/>
      </right>
      <top style="medium">
        <color auto="1"/>
      </top>
      <bottom style="thin">
        <color theme="0" tint="-0.24994659260841701"/>
      </bottom>
      <diagonal/>
    </border>
    <border>
      <left style="medium">
        <color auto="1"/>
      </left>
      <right/>
      <top/>
      <bottom style="dashDot">
        <color auto="1"/>
      </bottom>
      <diagonal/>
    </border>
    <border>
      <left/>
      <right/>
      <top/>
      <bottom style="dashDot">
        <color auto="1"/>
      </bottom>
      <diagonal/>
    </border>
    <border>
      <left/>
      <right/>
      <top style="dashDot">
        <color auto="1"/>
      </top>
      <bottom/>
      <diagonal/>
    </border>
    <border>
      <left style="medium">
        <color auto="1"/>
      </left>
      <right/>
      <top style="medium">
        <color rgb="FF000000"/>
      </top>
      <bottom/>
      <diagonal/>
    </border>
    <border>
      <left style="thin">
        <color theme="0" tint="-0.24994659260841701"/>
      </left>
      <right style="medium">
        <color auto="1"/>
      </right>
      <top style="medium">
        <color rgb="FF000000"/>
      </top>
      <bottom style="thin">
        <color theme="0" tint="-0.24994659260841701"/>
      </bottom>
      <diagonal/>
    </border>
    <border>
      <left style="medium">
        <color rgb="FF000000"/>
      </left>
      <right style="thin">
        <color theme="0" tint="-0.24994659260841701"/>
      </right>
      <top style="medium">
        <color rgb="FF000000"/>
      </top>
      <bottom/>
      <diagonal/>
    </border>
    <border>
      <left/>
      <right/>
      <top/>
      <bottom style="dashDot">
        <color rgb="FF000000"/>
      </bottom>
      <diagonal/>
    </border>
    <border>
      <left/>
      <right style="medium">
        <color rgb="FF000000"/>
      </right>
      <top/>
      <bottom style="dashDot">
        <color rgb="FF000000"/>
      </bottom>
      <diagonal/>
    </border>
    <border>
      <left style="thin">
        <color theme="0" tint="-0.24994659260841701"/>
      </left>
      <right style="medium">
        <color rgb="FF000000"/>
      </right>
      <top style="medium">
        <color rgb="FF000000"/>
      </top>
      <bottom/>
      <diagonal/>
    </border>
    <border>
      <left/>
      <right style="thin">
        <color rgb="FF000000"/>
      </right>
      <top/>
      <bottom/>
      <diagonal/>
    </border>
    <border>
      <left style="thin">
        <color theme="0" tint="-0.24994659260841701"/>
      </left>
      <right style="thin">
        <color rgb="FF000000"/>
      </right>
      <top/>
      <bottom style="thin">
        <color theme="0" tint="-0.24994659260841701"/>
      </bottom>
      <diagonal/>
    </border>
    <border>
      <left/>
      <right style="thin">
        <color rgb="FF000000"/>
      </right>
      <top/>
      <bottom style="medium">
        <color rgb="FF000000"/>
      </bottom>
      <diagonal/>
    </border>
    <border>
      <left style="thick">
        <color rgb="FF000000"/>
      </left>
      <right/>
      <top style="medium">
        <color rgb="FF000000"/>
      </top>
      <bottom/>
      <diagonal/>
    </border>
    <border>
      <left style="thick">
        <color rgb="FF000000"/>
      </left>
      <right/>
      <top/>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auto="1"/>
      </right>
      <top style="thin">
        <color theme="0" tint="-0.24994659260841701"/>
      </top>
      <bottom/>
      <diagonal/>
    </border>
    <border>
      <left/>
      <right/>
      <top style="dashDot">
        <color auto="1"/>
      </top>
      <bottom style="thin">
        <color theme="8" tint="0.39994506668294322"/>
      </bottom>
      <diagonal/>
    </border>
    <border>
      <left/>
      <right style="medium">
        <color rgb="FF000000"/>
      </right>
      <top style="thin">
        <color theme="0" tint="-0.24994659260841701"/>
      </top>
      <bottom/>
      <diagonal/>
    </border>
    <border>
      <left style="medium">
        <color theme="1"/>
      </left>
      <right/>
      <top/>
      <bottom style="medium">
        <color rgb="FF000000"/>
      </bottom>
      <diagonal/>
    </border>
    <border>
      <left/>
      <right/>
      <top style="thin">
        <color theme="8" tint="0.39994506668294322"/>
      </top>
      <bottom/>
      <diagonal/>
    </border>
    <border>
      <left style="medium">
        <color indexed="8"/>
      </left>
      <right/>
      <top/>
      <bottom/>
      <diagonal/>
    </border>
    <border>
      <left/>
      <right style="medium">
        <color theme="1"/>
      </right>
      <top style="thin">
        <color theme="0" tint="-0.24994659260841701"/>
      </top>
      <bottom/>
      <diagonal/>
    </border>
    <border>
      <left/>
      <right/>
      <top/>
      <bottom style="thin">
        <color theme="8" tint="0.39994506668294322"/>
      </bottom>
      <diagonal/>
    </border>
    <border>
      <left/>
      <right style="medium">
        <color auto="1"/>
      </right>
      <top style="thin">
        <color theme="0" tint="-0.24994659260841701"/>
      </top>
      <bottom style="thin">
        <color theme="8" tint="0.39994506668294322"/>
      </bottom>
      <diagonal/>
    </border>
    <border>
      <left style="medium">
        <color rgb="FF000000"/>
      </left>
      <right/>
      <top/>
      <bottom style="medium">
        <color auto="1"/>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auto="1"/>
      </top>
      <bottom/>
      <diagonal/>
    </border>
    <border>
      <left/>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right style="thin">
        <color indexed="64"/>
      </right>
      <top/>
      <bottom/>
      <diagonal/>
    </border>
    <border>
      <left style="thin">
        <color auto="1"/>
      </left>
      <right/>
      <top style="medium">
        <color auto="1"/>
      </top>
      <bottom/>
      <diagonal/>
    </border>
    <border>
      <left style="thin">
        <color indexed="64"/>
      </left>
      <right/>
      <top/>
      <bottom style="medium">
        <color indexed="64"/>
      </bottom>
      <diagonal/>
    </border>
    <border>
      <left style="medium">
        <color auto="1"/>
      </left>
      <right/>
      <top/>
      <bottom style="medium">
        <color auto="1"/>
      </bottom>
      <diagonal/>
    </border>
    <border>
      <left/>
      <right/>
      <top/>
      <bottom style="medium">
        <color indexed="8"/>
      </bottom>
      <diagonal/>
    </border>
    <border>
      <left style="medium">
        <color rgb="FF000000"/>
      </left>
      <right/>
      <top/>
      <bottom style="medium">
        <color indexed="8"/>
      </bottom>
      <diagonal/>
    </border>
    <border>
      <left style="medium">
        <color auto="1"/>
      </left>
      <right/>
      <top style="dashDot">
        <color auto="1"/>
      </top>
      <bottom/>
      <diagonal/>
    </border>
    <border>
      <left style="thick">
        <color rgb="FF000000"/>
      </left>
      <right/>
      <top/>
      <bottom style="medium">
        <color rgb="FF000000"/>
      </bottom>
      <diagonal/>
    </border>
    <border>
      <left style="medium">
        <color rgb="FF000000"/>
      </left>
      <right/>
      <top style="thin">
        <color theme="8" tint="0.39994506668294322"/>
      </top>
      <bottom style="medium">
        <color rgb="FF000000"/>
      </bottom>
      <diagonal/>
    </border>
    <border>
      <left/>
      <right/>
      <top style="thin">
        <color theme="8" tint="0.39994506668294322"/>
      </top>
      <bottom style="medium">
        <color rgb="FF000000"/>
      </bottom>
      <diagonal/>
    </border>
    <border>
      <left/>
      <right style="medium">
        <color rgb="FF000000"/>
      </right>
      <top style="thin">
        <color theme="8" tint="0.39994506668294322"/>
      </top>
      <bottom style="medium">
        <color rgb="FF000000"/>
      </bottom>
      <diagonal/>
    </border>
    <border>
      <left/>
      <right style="medium">
        <color rgb="FF000000"/>
      </right>
      <top/>
      <bottom style="medium">
        <color auto="1"/>
      </bottom>
      <diagonal/>
    </border>
    <border>
      <left style="thin">
        <color theme="0" tint="-0.24994659260841701"/>
      </left>
      <right/>
      <top style="dashDot">
        <color rgb="FF000000"/>
      </top>
      <bottom/>
      <diagonal/>
    </border>
    <border>
      <left/>
      <right style="medium">
        <color rgb="FF000000"/>
      </right>
      <top/>
      <bottom style="thick">
        <color rgb="FF000000"/>
      </bottom>
      <diagonal/>
    </border>
    <border>
      <left style="medium">
        <color theme="1"/>
      </left>
      <right/>
      <top/>
      <bottom/>
      <diagonal/>
    </border>
    <border>
      <left style="thick">
        <color auto="1"/>
      </left>
      <right style="thin">
        <color theme="0" tint="-0.24994659260841701"/>
      </right>
      <top style="medium">
        <color auto="1"/>
      </top>
      <bottom/>
      <diagonal/>
    </border>
    <border>
      <left/>
      <right style="medium">
        <color rgb="FF000000"/>
      </right>
      <top style="thin">
        <color theme="0" tint="-0.24994659260841701"/>
      </top>
      <bottom style="thin">
        <color theme="8" tint="0.39994506668294322"/>
      </bottom>
      <diagonal/>
    </border>
    <border>
      <left style="thin">
        <color theme="0" tint="-0.24994659260841701"/>
      </left>
      <right style="medium">
        <color rgb="FF000000"/>
      </right>
      <top/>
      <bottom/>
      <diagonal/>
    </border>
    <border>
      <left style="thin">
        <color theme="0" tint="-0.24994659260841701"/>
      </left>
      <right/>
      <top/>
      <bottom/>
      <diagonal/>
    </border>
  </borders>
  <cellStyleXfs count="18">
    <xf numFmtId="0" fontId="0" fillId="0" borderId="0"/>
    <xf numFmtId="0" fontId="5" fillId="0" borderId="0"/>
    <xf numFmtId="0" fontId="6" fillId="0" borderId="0" applyNumberFormat="0" applyFill="0" applyBorder="0" applyAlignment="0" applyProtection="0"/>
    <xf numFmtId="0" fontId="8" fillId="0" borderId="0"/>
    <xf numFmtId="0" fontId="13" fillId="0" borderId="0" applyNumberFormat="0" applyFill="0" applyBorder="0" applyAlignment="0" applyProtection="0"/>
    <xf numFmtId="0" fontId="16" fillId="0" borderId="0"/>
    <xf numFmtId="0" fontId="5" fillId="0" borderId="0"/>
    <xf numFmtId="0" fontId="5" fillId="0" borderId="0"/>
    <xf numFmtId="0" fontId="16" fillId="0" borderId="0"/>
    <xf numFmtId="0" fontId="26" fillId="0" borderId="0"/>
    <xf numFmtId="0" fontId="31" fillId="0" borderId="0"/>
    <xf numFmtId="0" fontId="33" fillId="0" borderId="0"/>
    <xf numFmtId="0" fontId="16" fillId="0" borderId="0"/>
    <xf numFmtId="0" fontId="8" fillId="0" borderId="0"/>
    <xf numFmtId="0" fontId="13" fillId="0" borderId="0" applyNumberFormat="0" applyFill="0" applyBorder="0" applyAlignment="0" applyProtection="0"/>
    <xf numFmtId="0" fontId="52" fillId="0" borderId="0"/>
    <xf numFmtId="0" fontId="5" fillId="0" borderId="0"/>
    <xf numFmtId="0" fontId="5" fillId="0" borderId="0"/>
  </cellStyleXfs>
  <cellXfs count="1007">
    <xf numFmtId="0" fontId="0" fillId="0" borderId="0" xfId="0"/>
    <xf numFmtId="0" fontId="1" fillId="0" borderId="0" xfId="1" applyNumberFormat="1" applyFont="1" applyAlignment="1"/>
    <xf numFmtId="0" fontId="4" fillId="0" borderId="0" xfId="1" applyNumberFormat="1" applyFont="1" applyFill="1" applyAlignment="1">
      <alignment horizontal="right"/>
    </xf>
    <xf numFmtId="0" fontId="7" fillId="0" borderId="0" xfId="2" applyFont="1" applyFill="1" applyAlignment="1">
      <alignment vertical="top"/>
    </xf>
    <xf numFmtId="0" fontId="1" fillId="0" borderId="0" xfId="1" applyNumberFormat="1" applyFont="1" applyFill="1" applyAlignment="1"/>
    <xf numFmtId="164" fontId="0" fillId="0" borderId="0" xfId="3" applyNumberFormat="1" applyFont="1" applyFill="1" applyAlignment="1">
      <alignment horizontal="right"/>
    </xf>
    <xf numFmtId="0" fontId="0" fillId="0" borderId="0" xfId="1" applyFont="1" applyFill="1" applyAlignment="1"/>
    <xf numFmtId="0" fontId="1" fillId="0" borderId="0" xfId="1" applyFont="1" applyFill="1" applyAlignment="1">
      <alignment vertical="top"/>
    </xf>
    <xf numFmtId="0" fontId="1" fillId="0" borderId="0" xfId="1" applyFont="1" applyFill="1" applyAlignment="1"/>
    <xf numFmtId="0" fontId="1" fillId="0" borderId="0" xfId="1" applyFont="1" applyFill="1" applyAlignment="1">
      <alignment horizontal="right" vertical="top"/>
    </xf>
    <xf numFmtId="0" fontId="4" fillId="2" borderId="1" xfId="1" applyNumberFormat="1" applyFont="1" applyFill="1" applyBorder="1" applyAlignment="1"/>
    <xf numFmtId="0" fontId="4" fillId="2" borderId="0" xfId="1" quotePrefix="1" applyNumberFormat="1" applyFont="1" applyFill="1" applyAlignment="1"/>
    <xf numFmtId="0" fontId="1" fillId="2" borderId="0" xfId="1" applyNumberFormat="1" applyFont="1" applyFill="1" applyAlignment="1"/>
    <xf numFmtId="0" fontId="1" fillId="0" borderId="0" xfId="1" applyNumberFormat="1" applyFont="1" applyAlignment="1">
      <alignment horizontal="center"/>
    </xf>
    <xf numFmtId="0" fontId="4" fillId="2" borderId="3" xfId="1" quotePrefix="1" applyNumberFormat="1" applyFont="1" applyFill="1" applyBorder="1" applyAlignment="1"/>
    <xf numFmtId="0" fontId="1" fillId="2" borderId="3" xfId="1" applyNumberFormat="1" applyFont="1" applyFill="1" applyBorder="1" applyAlignment="1"/>
    <xf numFmtId="0" fontId="1" fillId="0" borderId="3" xfId="1" applyNumberFormat="1" applyFont="1" applyBorder="1" applyAlignment="1"/>
    <xf numFmtId="0" fontId="11" fillId="0" borderId="3" xfId="1" applyNumberFormat="1" applyFont="1" applyBorder="1" applyAlignment="1"/>
    <xf numFmtId="0" fontId="1" fillId="0" borderId="3" xfId="1" applyNumberFormat="1" applyFont="1" applyBorder="1" applyAlignment="1">
      <alignment horizontal="center"/>
    </xf>
    <xf numFmtId="166" fontId="1" fillId="0" borderId="3" xfId="1" applyNumberFormat="1" applyFont="1" applyBorder="1" applyAlignment="1">
      <alignment horizontal="center"/>
    </xf>
    <xf numFmtId="0" fontId="6" fillId="7" borderId="1" xfId="2" applyNumberFormat="1" applyFill="1" applyBorder="1" applyAlignment="1"/>
    <xf numFmtId="0" fontId="10" fillId="0" borderId="1" xfId="2" applyFont="1" applyFill="1" applyBorder="1" applyAlignment="1"/>
    <xf numFmtId="0" fontId="7" fillId="0" borderId="1" xfId="2" applyFont="1" applyFill="1" applyBorder="1" applyAlignment="1"/>
    <xf numFmtId="0" fontId="4" fillId="2" borderId="0" xfId="1" quotePrefix="1" applyNumberFormat="1" applyFont="1" applyFill="1" applyBorder="1" applyAlignment="1"/>
    <xf numFmtId="0" fontId="1" fillId="2" borderId="0" xfId="1" applyNumberFormat="1" applyFont="1" applyFill="1" applyBorder="1" applyAlignment="1"/>
    <xf numFmtId="0" fontId="1" fillId="0" borderId="0" xfId="1" applyNumberFormat="1" applyFont="1" applyBorder="1" applyAlignment="1"/>
    <xf numFmtId="0" fontId="12" fillId="0" borderId="0" xfId="4" applyNumberFormat="1" applyFont="1" applyBorder="1" applyAlignment="1"/>
    <xf numFmtId="165" fontId="1" fillId="0" borderId="0" xfId="1" applyNumberFormat="1" applyFont="1" applyBorder="1" applyAlignment="1">
      <alignment horizontal="center"/>
    </xf>
    <xf numFmtId="166" fontId="1" fillId="0" borderId="0" xfId="1" applyNumberFormat="1" applyFont="1" applyBorder="1" applyAlignment="1">
      <alignment horizontal="center"/>
    </xf>
    <xf numFmtId="0" fontId="6" fillId="4" borderId="1" xfId="2" applyNumberFormat="1" applyFill="1" applyBorder="1" applyAlignment="1"/>
    <xf numFmtId="0" fontId="11" fillId="0" borderId="0" xfId="1" applyNumberFormat="1" applyFont="1" applyBorder="1" applyAlignment="1"/>
    <xf numFmtId="0" fontId="1" fillId="0" borderId="0" xfId="1" applyNumberFormat="1" applyFont="1" applyBorder="1" applyAlignment="1">
      <alignment horizontal="center"/>
    </xf>
    <xf numFmtId="0" fontId="7" fillId="4" borderId="1" xfId="2" applyFont="1" applyFill="1" applyBorder="1" applyAlignment="1"/>
    <xf numFmtId="0" fontId="4" fillId="0" borderId="0" xfId="1" applyNumberFormat="1" applyFont="1" applyAlignment="1"/>
    <xf numFmtId="0" fontId="4" fillId="0" borderId="0" xfId="5" applyFont="1" applyFill="1" applyBorder="1" applyAlignment="1"/>
    <xf numFmtId="0" fontId="0" fillId="4" borderId="0" xfId="1" applyFont="1" applyFill="1" applyAlignment="1"/>
    <xf numFmtId="0" fontId="1" fillId="4" borderId="0" xfId="1" applyNumberFormat="1" applyFont="1" applyFill="1" applyAlignment="1"/>
    <xf numFmtId="0" fontId="0" fillId="7" borderId="0" xfId="0" applyFont="1" applyFill="1"/>
    <xf numFmtId="0" fontId="1" fillId="7" borderId="0" xfId="1" applyFont="1" applyFill="1" applyAlignment="1"/>
    <xf numFmtId="0" fontId="1" fillId="0" borderId="0" xfId="1" applyNumberFormat="1" applyFont="1" applyFill="1" applyAlignment="1">
      <alignment horizontal="left"/>
    </xf>
    <xf numFmtId="0" fontId="3" fillId="0" borderId="0" xfId="1" applyNumberFormat="1" applyFont="1" applyAlignment="1"/>
    <xf numFmtId="0" fontId="1" fillId="0" borderId="0" xfId="0" applyFont="1"/>
    <xf numFmtId="0" fontId="1" fillId="0" borderId="0" xfId="1" applyFont="1" applyAlignment="1">
      <alignment vertical="top"/>
    </xf>
    <xf numFmtId="0" fontId="4" fillId="0" borderId="0" xfId="1" applyFont="1" applyAlignment="1"/>
    <xf numFmtId="0" fontId="1" fillId="0" borderId="0" xfId="1" applyFont="1" applyAlignment="1"/>
    <xf numFmtId="0" fontId="6" fillId="0" borderId="0" xfId="2" applyFill="1" applyAlignment="1">
      <alignment vertical="top"/>
    </xf>
    <xf numFmtId="0" fontId="1" fillId="0" borderId="0" xfId="1" applyFont="1" applyAlignment="1">
      <alignment horizontal="right" vertical="top"/>
    </xf>
    <xf numFmtId="0" fontId="4" fillId="2" borderId="6" xfId="1" applyFont="1" applyFill="1" applyBorder="1" applyAlignment="1"/>
    <xf numFmtId="0" fontId="4" fillId="2" borderId="7" xfId="1" applyFont="1" applyFill="1" applyBorder="1" applyAlignment="1"/>
    <xf numFmtId="0" fontId="4" fillId="2" borderId="8" xfId="1" applyFont="1" applyFill="1" applyBorder="1" applyAlignment="1"/>
    <xf numFmtId="0" fontId="4" fillId="10" borderId="0" xfId="1" quotePrefix="1" applyNumberFormat="1" applyFont="1" applyFill="1" applyAlignment="1"/>
    <xf numFmtId="0" fontId="4" fillId="10" borderId="0" xfId="1" applyFont="1" applyFill="1" applyBorder="1" applyAlignment="1"/>
    <xf numFmtId="0" fontId="1" fillId="10" borderId="0" xfId="1" applyFont="1" applyFill="1" applyBorder="1" applyAlignment="1"/>
    <xf numFmtId="0" fontId="4" fillId="0" borderId="0" xfId="1" applyFont="1" applyFill="1" applyBorder="1" applyAlignment="1"/>
    <xf numFmtId="0" fontId="4" fillId="12" borderId="10" xfId="1" applyFont="1" applyFill="1" applyBorder="1" applyAlignment="1"/>
    <xf numFmtId="0" fontId="4" fillId="12" borderId="11" xfId="1" applyFont="1" applyFill="1" applyBorder="1" applyAlignment="1"/>
    <xf numFmtId="0" fontId="1" fillId="0" borderId="12" xfId="0" applyFont="1" applyFill="1" applyBorder="1" applyAlignment="1"/>
    <xf numFmtId="0" fontId="1" fillId="0" borderId="0" xfId="1" applyFont="1" applyFill="1" applyBorder="1" applyAlignment="1"/>
    <xf numFmtId="0" fontId="4" fillId="0" borderId="0" xfId="1" applyFont="1" applyAlignment="1">
      <alignment vertical="top"/>
    </xf>
    <xf numFmtId="0" fontId="1" fillId="0" borderId="13" xfId="2" applyFont="1" applyFill="1" applyBorder="1" applyAlignment="1"/>
    <xf numFmtId="0" fontId="4" fillId="12" borderId="14" xfId="1" applyFont="1" applyFill="1" applyBorder="1" applyAlignment="1"/>
    <xf numFmtId="0" fontId="4" fillId="12" borderId="16" xfId="1" applyFont="1" applyFill="1" applyBorder="1" applyAlignment="1"/>
    <xf numFmtId="0" fontId="1" fillId="0" borderId="17" xfId="2" applyFont="1" applyFill="1" applyBorder="1" applyAlignment="1"/>
    <xf numFmtId="0" fontId="4" fillId="12" borderId="18" xfId="1" applyFont="1" applyFill="1" applyBorder="1" applyAlignment="1"/>
    <xf numFmtId="0" fontId="1" fillId="0" borderId="12" xfId="2" applyFont="1" applyFill="1" applyBorder="1" applyAlignment="1"/>
    <xf numFmtId="0" fontId="4" fillId="0" borderId="15" xfId="1" applyFont="1" applyFill="1" applyBorder="1" applyAlignment="1"/>
    <xf numFmtId="0" fontId="4" fillId="0" borderId="19" xfId="1" applyFont="1" applyFill="1" applyBorder="1" applyAlignment="1"/>
    <xf numFmtId="0" fontId="15" fillId="0" borderId="17" xfId="2" applyFont="1" applyFill="1" applyBorder="1" applyAlignment="1"/>
    <xf numFmtId="0" fontId="1" fillId="0" borderId="20" xfId="1" applyFont="1" applyFill="1" applyBorder="1" applyAlignment="1"/>
    <xf numFmtId="0" fontId="1" fillId="0" borderId="21" xfId="1" applyFont="1" applyFill="1" applyBorder="1" applyAlignment="1"/>
    <xf numFmtId="0" fontId="0" fillId="0" borderId="0" xfId="1" applyFont="1" applyFill="1" applyBorder="1" applyAlignment="1">
      <alignment vertical="top"/>
    </xf>
    <xf numFmtId="0" fontId="1" fillId="0" borderId="12" xfId="1" applyFont="1" applyFill="1" applyBorder="1" applyAlignment="1"/>
    <xf numFmtId="0" fontId="4" fillId="4" borderId="19" xfId="1" applyFont="1" applyFill="1" applyBorder="1" applyAlignment="1"/>
    <xf numFmtId="0" fontId="1" fillId="0" borderId="22" xfId="1" applyFont="1" applyFill="1" applyBorder="1" applyAlignment="1"/>
    <xf numFmtId="0" fontId="4" fillId="0" borderId="23" xfId="1" applyFont="1" applyFill="1" applyBorder="1" applyAlignment="1"/>
    <xf numFmtId="0" fontId="4" fillId="4" borderId="25" xfId="1" applyFont="1" applyFill="1" applyBorder="1" applyAlignment="1"/>
    <xf numFmtId="0" fontId="1" fillId="0" borderId="26" xfId="1" applyFont="1" applyFill="1" applyBorder="1" applyAlignment="1"/>
    <xf numFmtId="0" fontId="4" fillId="13" borderId="0" xfId="1" applyFont="1" applyFill="1" applyBorder="1" applyAlignment="1"/>
    <xf numFmtId="0" fontId="1" fillId="0" borderId="23" xfId="1" applyFont="1" applyFill="1" applyBorder="1" applyAlignment="1"/>
    <xf numFmtId="0" fontId="1" fillId="0" borderId="9" xfId="1" applyFont="1" applyFill="1" applyBorder="1" applyAlignment="1"/>
    <xf numFmtId="0" fontId="7" fillId="0" borderId="9" xfId="2" applyFont="1" applyFill="1" applyBorder="1" applyAlignment="1"/>
    <xf numFmtId="0" fontId="6" fillId="0" borderId="19" xfId="2" applyFill="1" applyBorder="1" applyAlignment="1"/>
    <xf numFmtId="0" fontId="7" fillId="4" borderId="12" xfId="4" applyFont="1" applyFill="1" applyBorder="1" applyAlignment="1"/>
    <xf numFmtId="0" fontId="1" fillId="4" borderId="0" xfId="1" applyFont="1" applyFill="1" applyBorder="1" applyAlignment="1"/>
    <xf numFmtId="0" fontId="1" fillId="0" borderId="19" xfId="1" applyFont="1" applyFill="1" applyBorder="1" applyAlignment="1"/>
    <xf numFmtId="0" fontId="7" fillId="4" borderId="22" xfId="4" applyFont="1" applyFill="1" applyBorder="1" applyAlignment="1"/>
    <xf numFmtId="0" fontId="1" fillId="4" borderId="23" xfId="1" applyFont="1" applyFill="1" applyBorder="1" applyAlignment="1"/>
    <xf numFmtId="0" fontId="4" fillId="12" borderId="30" xfId="1" applyFont="1" applyFill="1" applyBorder="1" applyAlignment="1"/>
    <xf numFmtId="0" fontId="4" fillId="0" borderId="31" xfId="1" applyFont="1" applyFill="1" applyBorder="1" applyAlignment="1"/>
    <xf numFmtId="0" fontId="1" fillId="0" borderId="33" xfId="1" applyFont="1" applyFill="1" applyBorder="1" applyAlignment="1"/>
    <xf numFmtId="0" fontId="4" fillId="12" borderId="35" xfId="1" applyFont="1" applyFill="1" applyBorder="1" applyAlignment="1"/>
    <xf numFmtId="0" fontId="1" fillId="0" borderId="31" xfId="1" applyFont="1" applyFill="1" applyBorder="1" applyAlignment="1"/>
    <xf numFmtId="0" fontId="4" fillId="12" borderId="37" xfId="1" applyFont="1" applyFill="1" applyBorder="1" applyAlignment="1"/>
    <xf numFmtId="0" fontId="4" fillId="12" borderId="38" xfId="1" applyFont="1" applyFill="1" applyBorder="1" applyAlignment="1"/>
    <xf numFmtId="0" fontId="1" fillId="0" borderId="12" xfId="1" applyFont="1" applyFill="1" applyBorder="1" applyAlignment="1">
      <alignment vertical="top"/>
    </xf>
    <xf numFmtId="0" fontId="1" fillId="0" borderId="22" xfId="1" applyFont="1" applyFill="1" applyBorder="1" applyAlignment="1">
      <alignment vertical="top"/>
    </xf>
    <xf numFmtId="0" fontId="1" fillId="0" borderId="23" xfId="1" applyFont="1" applyFill="1" applyBorder="1" applyAlignment="1">
      <alignment horizontal="right" vertical="top"/>
    </xf>
    <xf numFmtId="0" fontId="4" fillId="0" borderId="25" xfId="1" applyFont="1" applyFill="1" applyBorder="1" applyAlignment="1"/>
    <xf numFmtId="0" fontId="4" fillId="0" borderId="32" xfId="1" applyFont="1" applyFill="1" applyBorder="1" applyAlignment="1"/>
    <xf numFmtId="0" fontId="7" fillId="0" borderId="12" xfId="2" applyFont="1" applyFill="1" applyBorder="1" applyAlignment="1"/>
    <xf numFmtId="0" fontId="1" fillId="0" borderId="15" xfId="1" applyFont="1" applyFill="1" applyBorder="1" applyAlignment="1"/>
    <xf numFmtId="0" fontId="4" fillId="13" borderId="15" xfId="1" applyFont="1" applyFill="1" applyBorder="1" applyAlignment="1"/>
    <xf numFmtId="0" fontId="1" fillId="0" borderId="17" xfId="1" applyFont="1" applyFill="1" applyBorder="1" applyAlignment="1"/>
    <xf numFmtId="0" fontId="7" fillId="0" borderId="9" xfId="2" applyFont="1" applyFill="1" applyBorder="1" applyAlignment="1">
      <alignment vertical="top"/>
    </xf>
    <xf numFmtId="0" fontId="1" fillId="0" borderId="42" xfId="1" applyFont="1" applyFill="1" applyBorder="1" applyAlignment="1"/>
    <xf numFmtId="0" fontId="4" fillId="12" borderId="43" xfId="1" applyFont="1" applyFill="1" applyBorder="1" applyAlignment="1"/>
    <xf numFmtId="0" fontId="7" fillId="0" borderId="22" xfId="2" applyFont="1" applyFill="1" applyBorder="1" applyAlignment="1">
      <alignment vertical="top"/>
    </xf>
    <xf numFmtId="0" fontId="1" fillId="0" borderId="24" xfId="1" applyFont="1" applyFill="1" applyBorder="1" applyAlignment="1"/>
    <xf numFmtId="0" fontId="1" fillId="0" borderId="32" xfId="1" applyFont="1" applyFill="1" applyBorder="1" applyAlignment="1"/>
    <xf numFmtId="0" fontId="1" fillId="0" borderId="25" xfId="1" applyFont="1" applyFill="1" applyBorder="1" applyAlignment="1"/>
    <xf numFmtId="0" fontId="0" fillId="0" borderId="0" xfId="1" applyFont="1" applyAlignment="1">
      <alignment vertical="top"/>
    </xf>
    <xf numFmtId="0" fontId="1" fillId="8" borderId="19" xfId="1" applyFont="1" applyFill="1" applyBorder="1" applyAlignment="1"/>
    <xf numFmtId="0" fontId="4" fillId="13" borderId="19" xfId="1" applyFont="1" applyFill="1" applyBorder="1" applyAlignment="1"/>
    <xf numFmtId="0" fontId="4" fillId="10" borderId="0" xfId="1" quotePrefix="1" applyNumberFormat="1" applyFont="1" applyFill="1" applyBorder="1" applyAlignment="1"/>
    <xf numFmtId="0" fontId="4" fillId="12" borderId="47" xfId="1" applyFont="1" applyFill="1" applyBorder="1" applyAlignment="1"/>
    <xf numFmtId="0" fontId="4" fillId="13" borderId="25" xfId="1" applyFont="1" applyFill="1" applyBorder="1" applyAlignment="1"/>
    <xf numFmtId="0" fontId="1" fillId="0" borderId="34" xfId="1" applyFont="1" applyFill="1" applyBorder="1" applyAlignment="1"/>
    <xf numFmtId="0" fontId="4" fillId="12" borderId="49" xfId="1" applyFont="1" applyFill="1" applyBorder="1" applyAlignment="1"/>
    <xf numFmtId="0" fontId="1" fillId="0" borderId="48" xfId="1" applyFont="1" applyFill="1" applyBorder="1" applyAlignment="1"/>
    <xf numFmtId="0" fontId="1" fillId="0" borderId="50" xfId="1" applyFont="1" applyFill="1" applyBorder="1" applyAlignment="1"/>
    <xf numFmtId="0" fontId="7" fillId="0" borderId="22" xfId="4" applyFont="1" applyFill="1" applyBorder="1" applyAlignment="1"/>
    <xf numFmtId="0" fontId="1" fillId="0" borderId="25" xfId="1" applyFont="1" applyBorder="1" applyAlignment="1">
      <alignment vertical="top"/>
    </xf>
    <xf numFmtId="0" fontId="22" fillId="0" borderId="12" xfId="1" applyFont="1" applyFill="1" applyBorder="1" applyAlignment="1"/>
    <xf numFmtId="0" fontId="0" fillId="0" borderId="46" xfId="0" applyBorder="1"/>
    <xf numFmtId="0" fontId="1" fillId="0" borderId="53" xfId="1" applyFont="1" applyFill="1" applyBorder="1" applyAlignment="1"/>
    <xf numFmtId="0" fontId="1" fillId="0" borderId="54" xfId="1" applyFont="1" applyFill="1" applyBorder="1" applyAlignment="1"/>
    <xf numFmtId="0" fontId="1" fillId="0" borderId="55" xfId="1" applyFont="1" applyFill="1" applyBorder="1" applyAlignment="1"/>
    <xf numFmtId="0" fontId="1" fillId="0" borderId="56" xfId="1" applyFont="1" applyFill="1" applyBorder="1" applyAlignment="1"/>
    <xf numFmtId="0" fontId="7" fillId="0" borderId="22" xfId="2" applyFont="1" applyFill="1" applyBorder="1"/>
    <xf numFmtId="0" fontId="6" fillId="0" borderId="15" xfId="2" applyFill="1" applyBorder="1" applyAlignment="1"/>
    <xf numFmtId="0" fontId="2" fillId="0" borderId="15" xfId="1" applyFont="1" applyFill="1" applyBorder="1" applyAlignment="1"/>
    <xf numFmtId="0" fontId="4" fillId="13" borderId="12" xfId="1" applyFont="1" applyFill="1" applyBorder="1" applyAlignment="1">
      <alignment vertical="top"/>
    </xf>
    <xf numFmtId="0" fontId="19" fillId="0" borderId="12" xfId="1" applyFont="1" applyFill="1" applyBorder="1" applyAlignment="1"/>
    <xf numFmtId="0" fontId="19" fillId="0" borderId="22" xfId="1" applyFont="1" applyFill="1" applyBorder="1" applyAlignment="1"/>
    <xf numFmtId="0" fontId="6" fillId="0" borderId="25" xfId="2" applyFill="1" applyBorder="1" applyAlignment="1">
      <alignment vertical="top"/>
    </xf>
    <xf numFmtId="0" fontId="4" fillId="14" borderId="0" xfId="1" quotePrefix="1" applyNumberFormat="1" applyFont="1" applyFill="1" applyBorder="1" applyAlignment="1"/>
    <xf numFmtId="0" fontId="4" fillId="14" borderId="0" xfId="1" applyFont="1" applyFill="1" applyBorder="1" applyAlignment="1"/>
    <xf numFmtId="0" fontId="1" fillId="14" borderId="0" xfId="1" applyFont="1" applyFill="1" applyBorder="1" applyAlignment="1"/>
    <xf numFmtId="0" fontId="1" fillId="0" borderId="0" xfId="1" applyFont="1" applyFill="1" applyBorder="1" applyAlignment="1">
      <alignment vertical="top"/>
    </xf>
    <xf numFmtId="0" fontId="6" fillId="0" borderId="25" xfId="2" applyFill="1" applyBorder="1" applyAlignment="1"/>
    <xf numFmtId="0" fontId="1" fillId="0" borderId="0" xfId="1" applyFont="1" applyBorder="1" applyAlignment="1">
      <alignment vertical="top"/>
    </xf>
    <xf numFmtId="0" fontId="1" fillId="0" borderId="23" xfId="1" applyFont="1" applyFill="1" applyBorder="1" applyAlignment="1">
      <alignment vertical="top"/>
    </xf>
    <xf numFmtId="0" fontId="1" fillId="4" borderId="25" xfId="1" applyFont="1" applyFill="1" applyBorder="1" applyAlignment="1"/>
    <xf numFmtId="0" fontId="1" fillId="0" borderId="0" xfId="1" applyFont="1" applyBorder="1" applyAlignment="1"/>
    <xf numFmtId="0" fontId="1" fillId="0" borderId="9" xfId="7" applyFont="1" applyFill="1" applyBorder="1" applyAlignment="1"/>
    <xf numFmtId="0" fontId="1" fillId="0" borderId="12" xfId="1" applyFont="1" applyBorder="1" applyAlignment="1">
      <alignment vertical="top"/>
    </xf>
    <xf numFmtId="0" fontId="1" fillId="0" borderId="19" xfId="1" applyFont="1" applyBorder="1" applyAlignment="1">
      <alignment vertical="top"/>
    </xf>
    <xf numFmtId="0" fontId="4" fillId="0" borderId="62" xfId="1" applyFont="1" applyFill="1" applyBorder="1" applyAlignment="1"/>
    <xf numFmtId="0" fontId="1" fillId="0" borderId="23" xfId="1" applyFont="1" applyBorder="1" applyAlignment="1">
      <alignment vertical="top"/>
    </xf>
    <xf numFmtId="0" fontId="19" fillId="0" borderId="57" xfId="1" applyFont="1" applyFill="1" applyBorder="1" applyAlignment="1"/>
    <xf numFmtId="0" fontId="19" fillId="0" borderId="63" xfId="1" applyFont="1" applyFill="1" applyBorder="1" applyAlignment="1">
      <alignment horizontal="right" vertical="top"/>
    </xf>
    <xf numFmtId="0" fontId="19" fillId="0" borderId="57" xfId="1" applyFont="1" applyFill="1" applyBorder="1" applyAlignment="1">
      <alignment horizontal="right" vertical="top"/>
    </xf>
    <xf numFmtId="0" fontId="19" fillId="0" borderId="63" xfId="1" applyFont="1" applyFill="1" applyBorder="1" applyAlignment="1">
      <alignment vertical="top"/>
    </xf>
    <xf numFmtId="0" fontId="19" fillId="0" borderId="64" xfId="1" applyFont="1" applyFill="1" applyBorder="1" applyAlignment="1">
      <alignment horizontal="right"/>
    </xf>
    <xf numFmtId="0" fontId="1" fillId="0" borderId="65" xfId="1" applyFont="1" applyBorder="1" applyAlignment="1">
      <alignment vertical="top"/>
    </xf>
    <xf numFmtId="0" fontId="1" fillId="0" borderId="66" xfId="1" applyFont="1" applyFill="1" applyBorder="1" applyAlignment="1"/>
    <xf numFmtId="0" fontId="4" fillId="0" borderId="58" xfId="1" applyFont="1" applyFill="1" applyBorder="1" applyAlignment="1"/>
    <xf numFmtId="0" fontId="23" fillId="13" borderId="0" xfId="0" applyFont="1" applyFill="1"/>
    <xf numFmtId="0" fontId="4" fillId="13" borderId="0" xfId="1" applyFont="1" applyFill="1" applyAlignment="1"/>
    <xf numFmtId="0" fontId="1" fillId="13" borderId="0" xfId="1" applyFont="1" applyFill="1" applyAlignment="1"/>
    <xf numFmtId="0" fontId="4" fillId="0" borderId="0" xfId="1" applyFont="1" applyFill="1" applyAlignment="1"/>
    <xf numFmtId="0" fontId="4" fillId="13" borderId="0" xfId="5" applyFont="1" applyFill="1" applyBorder="1" applyAlignment="1"/>
    <xf numFmtId="0" fontId="1" fillId="4" borderId="0" xfId="1" applyFont="1" applyFill="1" applyAlignment="1"/>
    <xf numFmtId="0" fontId="4" fillId="4" borderId="0" xfId="1" applyFont="1" applyFill="1" applyAlignment="1"/>
    <xf numFmtId="0" fontId="3" fillId="0" borderId="0" xfId="1" applyFont="1" applyFill="1" applyAlignment="1"/>
    <xf numFmtId="0" fontId="19" fillId="0" borderId="0" xfId="1" applyFont="1" applyFill="1" applyAlignment="1">
      <alignment horizontal="right"/>
    </xf>
    <xf numFmtId="0" fontId="20" fillId="0" borderId="0" xfId="2" applyFont="1" applyFill="1" applyBorder="1" applyAlignment="1">
      <alignment horizontal="right"/>
    </xf>
    <xf numFmtId="0" fontId="20" fillId="0" borderId="0" xfId="2" applyFont="1" applyFill="1" applyBorder="1" applyAlignment="1">
      <alignment horizontal="center"/>
    </xf>
    <xf numFmtId="0" fontId="19" fillId="0" borderId="0" xfId="1" applyFont="1" applyFill="1" applyBorder="1" applyAlignment="1">
      <alignment horizontal="center"/>
    </xf>
    <xf numFmtId="0" fontId="6" fillId="0" borderId="0" xfId="2" applyFill="1" applyAlignment="1"/>
    <xf numFmtId="0" fontId="6" fillId="0" borderId="0" xfId="2" applyFill="1" applyAlignment="1">
      <alignment horizontal="right"/>
    </xf>
    <xf numFmtId="0" fontId="1" fillId="0" borderId="0" xfId="5" applyFont="1" applyFill="1" applyAlignment="1"/>
    <xf numFmtId="0" fontId="1" fillId="2" borderId="0" xfId="5" applyFont="1" applyFill="1" applyAlignment="1"/>
    <xf numFmtId="0" fontId="4" fillId="2" borderId="0" xfId="5" applyFont="1" applyFill="1" applyBorder="1" applyAlignment="1"/>
    <xf numFmtId="0" fontId="4" fillId="0" borderId="0" xfId="5" applyFont="1" applyFill="1" applyBorder="1" applyAlignment="1">
      <alignment horizontal="center"/>
    </xf>
    <xf numFmtId="0" fontId="0" fillId="2" borderId="0" xfId="0" applyFont="1" applyFill="1"/>
    <xf numFmtId="0" fontId="4" fillId="2" borderId="0" xfId="0" applyFont="1" applyFill="1"/>
    <xf numFmtId="0" fontId="4" fillId="2" borderId="0" xfId="5" applyFont="1" applyFill="1" applyBorder="1" applyAlignment="1">
      <alignment horizontal="center"/>
    </xf>
    <xf numFmtId="0" fontId="1" fillId="0" borderId="0" xfId="5" applyFont="1" applyFill="1" applyBorder="1" applyAlignment="1"/>
    <xf numFmtId="0" fontId="1" fillId="0" borderId="0" xfId="5" applyFont="1" applyFill="1" applyAlignment="1">
      <alignment horizontal="center"/>
    </xf>
    <xf numFmtId="0" fontId="6" fillId="0" borderId="0" xfId="2" applyAlignment="1"/>
    <xf numFmtId="0" fontId="25" fillId="0" borderId="0" xfId="5" applyFont="1" applyFill="1" applyAlignment="1">
      <alignment horizontal="right"/>
    </xf>
    <xf numFmtId="0" fontId="1" fillId="0" borderId="0" xfId="5" applyFont="1" applyFill="1" applyAlignment="1">
      <alignment horizontal="right"/>
    </xf>
    <xf numFmtId="0" fontId="1" fillId="0" borderId="0" xfId="5" applyFont="1" applyFill="1" applyAlignment="1">
      <alignment textRotation="90"/>
    </xf>
    <xf numFmtId="0" fontId="4" fillId="7" borderId="0" xfId="5" applyFont="1" applyFill="1" applyAlignment="1"/>
    <xf numFmtId="0" fontId="24" fillId="0" borderId="0" xfId="8" applyFont="1" applyFill="1" applyBorder="1" applyAlignment="1"/>
    <xf numFmtId="0" fontId="24" fillId="0" borderId="0" xfId="5" applyFont="1" applyFill="1" applyBorder="1" applyAlignment="1"/>
    <xf numFmtId="0" fontId="0" fillId="0" borderId="0" xfId="0" applyFont="1" applyFill="1"/>
    <xf numFmtId="0" fontId="0" fillId="0" borderId="0" xfId="0" applyFont="1"/>
    <xf numFmtId="0" fontId="1" fillId="15" borderId="0" xfId="5" applyFont="1" applyFill="1" applyAlignment="1"/>
    <xf numFmtId="0" fontId="24" fillId="0" borderId="1" xfId="5" applyFont="1" applyFill="1" applyBorder="1" applyAlignment="1"/>
    <xf numFmtId="0" fontId="1" fillId="0" borderId="1" xfId="5" applyFont="1" applyFill="1" applyBorder="1" applyAlignment="1"/>
    <xf numFmtId="0" fontId="1" fillId="0" borderId="1" xfId="9" applyFont="1" applyFill="1" applyBorder="1" applyAlignment="1">
      <alignment horizontal="center"/>
    </xf>
    <xf numFmtId="0" fontId="1" fillId="0" borderId="1" xfId="5" applyFont="1" applyFill="1" applyBorder="1" applyAlignment="1">
      <alignment horizontal="center" wrapText="1"/>
    </xf>
    <xf numFmtId="0" fontId="0" fillId="9" borderId="1" xfId="5" applyFont="1" applyFill="1" applyBorder="1" applyAlignment="1">
      <alignment horizontal="center" wrapText="1"/>
    </xf>
    <xf numFmtId="0" fontId="0" fillId="0" borderId="1" xfId="5" applyFont="1" applyFill="1" applyBorder="1" applyAlignment="1">
      <alignment horizontal="center" wrapText="1"/>
    </xf>
    <xf numFmtId="0" fontId="0" fillId="4" borderId="1" xfId="5" applyFont="1" applyFill="1" applyBorder="1" applyAlignment="1">
      <alignment horizontal="center" wrapText="1"/>
    </xf>
    <xf numFmtId="0" fontId="0" fillId="9" borderId="1" xfId="8" applyFont="1" applyFill="1" applyBorder="1" applyAlignment="1">
      <alignment textRotation="90"/>
    </xf>
    <xf numFmtId="0" fontId="0" fillId="4" borderId="1" xfId="8" applyFont="1" applyFill="1" applyBorder="1" applyAlignment="1">
      <alignment textRotation="90"/>
    </xf>
    <xf numFmtId="0" fontId="0" fillId="16" borderId="1" xfId="8" applyFont="1" applyFill="1" applyBorder="1" applyAlignment="1">
      <alignment textRotation="90"/>
    </xf>
    <xf numFmtId="0" fontId="0" fillId="7" borderId="1" xfId="8" applyFont="1" applyFill="1" applyBorder="1" applyAlignment="1">
      <alignment textRotation="90"/>
    </xf>
    <xf numFmtId="0" fontId="1" fillId="0" borderId="1" xfId="5" applyFont="1" applyFill="1" applyBorder="1" applyAlignment="1">
      <alignment horizontal="center" textRotation="90"/>
    </xf>
    <xf numFmtId="0" fontId="1" fillId="13" borderId="1" xfId="8" applyNumberFormat="1" applyFont="1" applyFill="1" applyBorder="1" applyAlignment="1">
      <alignment textRotation="90"/>
    </xf>
    <xf numFmtId="0" fontId="4" fillId="2" borderId="68" xfId="5" applyFont="1" applyFill="1" applyBorder="1" applyAlignment="1">
      <alignment horizontal="center"/>
    </xf>
    <xf numFmtId="0" fontId="4" fillId="2" borderId="69" xfId="5" applyFont="1" applyFill="1" applyBorder="1" applyAlignment="1">
      <alignment horizontal="center"/>
    </xf>
    <xf numFmtId="0" fontId="1" fillId="2" borderId="69" xfId="5" applyFont="1" applyFill="1" applyBorder="1" applyAlignment="1"/>
    <xf numFmtId="0" fontId="4" fillId="2" borderId="69" xfId="5" applyFont="1" applyFill="1" applyBorder="1" applyAlignment="1">
      <alignment horizontal="right"/>
    </xf>
    <xf numFmtId="0" fontId="4" fillId="2" borderId="70" xfId="5" applyFont="1" applyFill="1" applyBorder="1" applyAlignment="1">
      <alignment horizontal="right"/>
    </xf>
    <xf numFmtId="0" fontId="4" fillId="0" borderId="70" xfId="5" applyFont="1" applyFill="1" applyBorder="1" applyAlignment="1">
      <alignment horizontal="center"/>
    </xf>
    <xf numFmtId="0" fontId="27" fillId="13" borderId="1" xfId="5" applyFont="1" applyFill="1" applyBorder="1" applyAlignment="1">
      <alignment horizontal="center"/>
    </xf>
    <xf numFmtId="0" fontId="28" fillId="0" borderId="1" xfId="9" applyFont="1" applyFill="1" applyBorder="1" applyAlignment="1">
      <alignment horizontal="center"/>
    </xf>
    <xf numFmtId="0" fontId="25" fillId="0" borderId="1" xfId="9" applyFont="1" applyFill="1" applyBorder="1" applyAlignment="1">
      <alignment horizontal="center"/>
    </xf>
    <xf numFmtId="0" fontId="29" fillId="0" borderId="1" xfId="9" applyFont="1" applyFill="1" applyBorder="1" applyAlignment="1">
      <alignment horizontal="center"/>
    </xf>
    <xf numFmtId="0" fontId="30" fillId="0" borderId="1" xfId="9" applyFont="1" applyFill="1" applyBorder="1" applyAlignment="1">
      <alignment horizontal="center"/>
    </xf>
    <xf numFmtId="0" fontId="4" fillId="2" borderId="1" xfId="10" applyFont="1" applyFill="1" applyBorder="1" applyAlignment="1">
      <alignment horizontal="center"/>
    </xf>
    <xf numFmtId="0" fontId="4" fillId="0" borderId="1" xfId="5" applyFont="1" applyFill="1" applyBorder="1" applyAlignment="1">
      <alignment horizontal="center"/>
    </xf>
    <xf numFmtId="0" fontId="1" fillId="4" borderId="1" xfId="9" applyFont="1" applyFill="1" applyBorder="1" applyAlignment="1">
      <alignment horizontal="center"/>
    </xf>
    <xf numFmtId="0" fontId="4" fillId="2" borderId="1" xfId="8" applyFont="1" applyFill="1" applyBorder="1" applyAlignment="1">
      <alignment horizontal="center"/>
    </xf>
    <xf numFmtId="0" fontId="32" fillId="0" borderId="1" xfId="9" applyFont="1" applyFill="1" applyBorder="1" applyAlignment="1">
      <alignment horizontal="center"/>
    </xf>
    <xf numFmtId="0" fontId="32" fillId="0" borderId="1" xfId="8" applyFont="1" applyFill="1" applyBorder="1" applyAlignment="1">
      <alignment horizontal="center"/>
    </xf>
    <xf numFmtId="0" fontId="32" fillId="0" borderId="1" xfId="8" applyFont="1" applyFill="1" applyBorder="1" applyAlignment="1"/>
    <xf numFmtId="0" fontId="6" fillId="0" borderId="1" xfId="2" applyFill="1" applyBorder="1" applyAlignment="1">
      <alignment horizontal="center"/>
    </xf>
    <xf numFmtId="0" fontId="1" fillId="0" borderId="67" xfId="5" applyFont="1" applyFill="1" applyBorder="1" applyAlignment="1">
      <alignment textRotation="90"/>
    </xf>
    <xf numFmtId="0" fontId="1" fillId="0" borderId="0" xfId="5" applyFont="1" applyFill="1" applyAlignment="1">
      <alignment horizontal="center" textRotation="90"/>
    </xf>
    <xf numFmtId="0" fontId="3" fillId="0" borderId="0" xfId="9" applyFont="1" applyBorder="1" applyAlignment="1">
      <alignment horizontal="center"/>
    </xf>
    <xf numFmtId="0" fontId="28" fillId="0" borderId="1" xfId="9" applyNumberFormat="1" applyFont="1" applyFill="1" applyBorder="1" applyAlignment="1">
      <alignment horizontal="center"/>
    </xf>
    <xf numFmtId="0" fontId="25" fillId="0" borderId="1" xfId="9" applyNumberFormat="1" applyFont="1" applyFill="1" applyBorder="1" applyAlignment="1"/>
    <xf numFmtId="0" fontId="29" fillId="0" borderId="1" xfId="9" applyNumberFormat="1" applyFont="1" applyFill="1" applyBorder="1" applyAlignment="1">
      <alignment horizontal="center"/>
    </xf>
    <xf numFmtId="0" fontId="30" fillId="0" borderId="1" xfId="9" applyNumberFormat="1" applyFont="1" applyFill="1" applyBorder="1" applyAlignment="1"/>
    <xf numFmtId="0" fontId="4" fillId="2" borderId="1" xfId="8" applyFont="1" applyFill="1" applyBorder="1" applyAlignment="1"/>
    <xf numFmtId="0" fontId="25" fillId="0" borderId="1" xfId="9" applyNumberFormat="1" applyFont="1" applyFill="1" applyBorder="1" applyAlignment="1">
      <alignment horizontal="center"/>
    </xf>
    <xf numFmtId="0" fontId="1" fillId="4" borderId="1" xfId="9" applyNumberFormat="1" applyFont="1" applyFill="1" applyBorder="1" applyAlignment="1">
      <alignment horizontal="center"/>
    </xf>
    <xf numFmtId="0" fontId="4" fillId="2" borderId="1" xfId="8" applyNumberFormat="1" applyFont="1" applyFill="1" applyBorder="1" applyAlignment="1">
      <alignment horizontal="center"/>
    </xf>
    <xf numFmtId="166" fontId="32" fillId="0" borderId="1" xfId="8" applyNumberFormat="1" applyFont="1" applyFill="1" applyBorder="1" applyAlignment="1"/>
    <xf numFmtId="166" fontId="32" fillId="0" borderId="1" xfId="8" applyNumberFormat="1" applyFont="1" applyFill="1" applyBorder="1" applyAlignment="1">
      <alignment horizontal="center"/>
    </xf>
    <xf numFmtId="166" fontId="32" fillId="4" borderId="1" xfId="8" applyNumberFormat="1" applyFont="1" applyFill="1" applyBorder="1" applyAlignment="1">
      <alignment horizontal="center"/>
    </xf>
    <xf numFmtId="0" fontId="1" fillId="0" borderId="1" xfId="11" applyFont="1" applyFill="1" applyBorder="1" applyAlignment="1">
      <alignment horizontal="center"/>
    </xf>
    <xf numFmtId="0" fontId="1" fillId="0" borderId="1" xfId="5" applyFont="1" applyFill="1" applyBorder="1" applyAlignment="1">
      <alignment horizontal="center"/>
    </xf>
    <xf numFmtId="166" fontId="1" fillId="0" borderId="0" xfId="5" applyNumberFormat="1" applyFont="1" applyFill="1" applyBorder="1" applyAlignment="1">
      <alignment horizontal="center"/>
    </xf>
    <xf numFmtId="166" fontId="1" fillId="0" borderId="0" xfId="5" applyNumberFormat="1" applyFont="1" applyFill="1" applyAlignment="1">
      <alignment horizontal="center"/>
    </xf>
    <xf numFmtId="0" fontId="34" fillId="0" borderId="0" xfId="5" applyFont="1" applyFill="1" applyAlignment="1">
      <alignment horizontal="center"/>
    </xf>
    <xf numFmtId="0" fontId="0" fillId="4" borderId="1" xfId="9" applyFont="1" applyFill="1" applyBorder="1" applyAlignment="1">
      <alignment horizontal="center"/>
    </xf>
    <xf numFmtId="0" fontId="1" fillId="0" borderId="1" xfId="1" applyFont="1" applyFill="1" applyBorder="1" applyAlignment="1"/>
    <xf numFmtId="0" fontId="0" fillId="0" borderId="1" xfId="1" applyFont="1" applyFill="1" applyBorder="1" applyAlignment="1"/>
    <xf numFmtId="0" fontId="0" fillId="0" borderId="1" xfId="12" applyFont="1" applyFill="1" applyBorder="1" applyAlignment="1"/>
    <xf numFmtId="0" fontId="0" fillId="0" borderId="1" xfId="5" applyFont="1" applyFill="1" applyBorder="1" applyAlignment="1"/>
    <xf numFmtId="0" fontId="0" fillId="0" borderId="0" xfId="5" applyFont="1" applyFill="1" applyAlignment="1"/>
    <xf numFmtId="0" fontId="1" fillId="0" borderId="2" xfId="5" applyFont="1" applyFill="1" applyBorder="1" applyAlignment="1"/>
    <xf numFmtId="0" fontId="4" fillId="2" borderId="68" xfId="8" applyFont="1" applyFill="1" applyBorder="1" applyAlignment="1"/>
    <xf numFmtId="0" fontId="25" fillId="0" borderId="70" xfId="9" applyNumberFormat="1" applyFont="1" applyFill="1" applyBorder="1" applyAlignment="1">
      <alignment horizontal="center"/>
    </xf>
    <xf numFmtId="0" fontId="0" fillId="4" borderId="1" xfId="9" applyNumberFormat="1" applyFont="1" applyFill="1" applyBorder="1" applyAlignment="1">
      <alignment horizontal="center"/>
    </xf>
    <xf numFmtId="0" fontId="4" fillId="0" borderId="0" xfId="5" applyFont="1" applyFill="1" applyAlignment="1">
      <alignment horizontal="center"/>
    </xf>
    <xf numFmtId="0" fontId="1" fillId="0" borderId="71" xfId="5" applyFont="1" applyFill="1" applyBorder="1" applyAlignment="1"/>
    <xf numFmtId="0" fontId="28" fillId="2" borderId="0" xfId="5" applyFont="1" applyFill="1" applyAlignment="1"/>
    <xf numFmtId="0" fontId="29" fillId="2" borderId="0" xfId="5" applyFont="1" applyFill="1" applyAlignment="1"/>
    <xf numFmtId="0" fontId="4" fillId="2" borderId="0" xfId="5" applyFont="1" applyFill="1" applyAlignment="1"/>
    <xf numFmtId="0" fontId="1" fillId="2" borderId="0" xfId="5" applyFont="1" applyFill="1" applyAlignment="1">
      <alignment horizontal="right"/>
    </xf>
    <xf numFmtId="0" fontId="4" fillId="2" borderId="0" xfId="5" applyFont="1" applyFill="1" applyAlignment="1">
      <alignment horizontal="center"/>
    </xf>
    <xf numFmtId="166" fontId="1" fillId="2" borderId="0" xfId="5" applyNumberFormat="1" applyFont="1" applyFill="1" applyAlignment="1">
      <alignment horizontal="center"/>
    </xf>
    <xf numFmtId="166" fontId="4" fillId="2" borderId="0" xfId="5" applyNumberFormat="1" applyFont="1" applyFill="1" applyAlignment="1"/>
    <xf numFmtId="0" fontId="1" fillId="2" borderId="0" xfId="5" applyFont="1" applyFill="1" applyAlignment="1">
      <alignment horizontal="center"/>
    </xf>
    <xf numFmtId="1" fontId="1" fillId="2" borderId="0" xfId="13" applyNumberFormat="1" applyFont="1" applyFill="1" applyBorder="1" applyAlignment="1">
      <alignment horizontal="center"/>
    </xf>
    <xf numFmtId="1" fontId="1" fillId="0" borderId="0" xfId="13" applyNumberFormat="1" applyFont="1" applyFill="1" applyBorder="1" applyAlignment="1">
      <alignment horizontal="center"/>
    </xf>
    <xf numFmtId="0" fontId="4" fillId="0" borderId="0" xfId="5" applyFont="1" applyFill="1" applyAlignment="1"/>
    <xf numFmtId="0" fontId="24" fillId="0" borderId="0" xfId="5" applyFont="1" applyFill="1" applyAlignment="1"/>
    <xf numFmtId="0" fontId="7" fillId="0" borderId="0" xfId="5" applyFont="1" applyFill="1" applyAlignment="1"/>
    <xf numFmtId="0" fontId="0" fillId="2" borderId="0" xfId="0" applyFill="1"/>
    <xf numFmtId="0" fontId="1" fillId="0" borderId="0" xfId="8" applyFont="1" applyFill="1" applyAlignment="1"/>
    <xf numFmtId="0" fontId="1" fillId="2" borderId="0" xfId="8" applyFont="1" applyFill="1" applyAlignment="1"/>
    <xf numFmtId="0" fontId="1" fillId="2" borderId="0" xfId="8" applyFont="1" applyFill="1" applyAlignment="1">
      <alignment horizontal="center"/>
    </xf>
    <xf numFmtId="0" fontId="1" fillId="0" borderId="0" xfId="8" applyFont="1" applyFill="1" applyAlignment="1">
      <alignment horizontal="center"/>
    </xf>
    <xf numFmtId="0" fontId="4" fillId="0" borderId="0" xfId="11" applyFont="1" applyBorder="1" applyAlignment="1"/>
    <xf numFmtId="0" fontId="1" fillId="2" borderId="0" xfId="11" applyFont="1" applyFill="1" applyAlignment="1"/>
    <xf numFmtId="0" fontId="4" fillId="2" borderId="0" xfId="11" applyFont="1" applyFill="1" applyAlignment="1"/>
    <xf numFmtId="0" fontId="1" fillId="0" borderId="0" xfId="11" applyFont="1" applyAlignment="1"/>
    <xf numFmtId="0" fontId="3" fillId="2" borderId="0" xfId="8" applyFont="1" applyFill="1" applyAlignment="1">
      <alignment horizontal="right"/>
    </xf>
    <xf numFmtId="0" fontId="4" fillId="7" borderId="0" xfId="8" applyFont="1" applyFill="1" applyAlignment="1"/>
    <xf numFmtId="0" fontId="4" fillId="0" borderId="0" xfId="8" applyFont="1" applyFill="1" applyAlignment="1"/>
    <xf numFmtId="0" fontId="24" fillId="0" borderId="0" xfId="1" applyNumberFormat="1" applyFont="1" applyBorder="1" applyAlignment="1"/>
    <xf numFmtId="0" fontId="4" fillId="0" borderId="0" xfId="11" applyFont="1" applyAlignment="1"/>
    <xf numFmtId="0" fontId="1" fillId="0" borderId="0" xfId="11" applyFont="1" applyFill="1" applyAlignment="1"/>
    <xf numFmtId="0" fontId="0" fillId="0" borderId="0" xfId="0" applyFont="1" applyAlignment="1"/>
    <xf numFmtId="0" fontId="24" fillId="0" borderId="0" xfId="0" applyFont="1"/>
    <xf numFmtId="0" fontId="1" fillId="15" borderId="0" xfId="8" applyFont="1" applyFill="1" applyAlignment="1"/>
    <xf numFmtId="0" fontId="18" fillId="10" borderId="0" xfId="8" applyFont="1" applyFill="1" applyAlignment="1">
      <alignment horizontal="center"/>
    </xf>
    <xf numFmtId="0" fontId="0" fillId="9" borderId="0" xfId="8" applyFont="1" applyFill="1" applyAlignment="1"/>
    <xf numFmtId="0" fontId="1" fillId="9" borderId="0" xfId="8" applyFont="1" applyFill="1" applyAlignment="1"/>
    <xf numFmtId="0" fontId="36" fillId="0" borderId="72" xfId="8" applyFont="1" applyBorder="1" applyAlignment="1">
      <alignment vertical="top" wrapText="1"/>
    </xf>
    <xf numFmtId="0" fontId="1" fillId="0" borderId="72" xfId="8" applyFont="1" applyFill="1" applyBorder="1" applyAlignment="1">
      <alignment wrapText="1"/>
    </xf>
    <xf numFmtId="0" fontId="1" fillId="7" borderId="72" xfId="8" applyFont="1" applyFill="1" applyBorder="1" applyAlignment="1">
      <alignment wrapText="1"/>
    </xf>
    <xf numFmtId="0" fontId="1" fillId="11" borderId="72" xfId="8" applyFont="1" applyFill="1" applyBorder="1" applyAlignment="1">
      <alignment wrapText="1"/>
    </xf>
    <xf numFmtId="0" fontId="1" fillId="4" borderId="72" xfId="14" applyNumberFormat="1" applyFont="1" applyFill="1" applyBorder="1" applyAlignment="1" applyProtection="1">
      <alignment horizontal="center" vertical="top" textRotation="90"/>
    </xf>
    <xf numFmtId="0" fontId="1" fillId="4" borderId="72" xfId="14" applyNumberFormat="1" applyFont="1" applyFill="1" applyBorder="1" applyAlignment="1" applyProtection="1">
      <alignment textRotation="90"/>
    </xf>
    <xf numFmtId="0" fontId="1" fillId="4" borderId="73" xfId="14" applyNumberFormat="1" applyFont="1" applyFill="1" applyBorder="1" applyAlignment="1" applyProtection="1">
      <alignment textRotation="90"/>
    </xf>
    <xf numFmtId="0" fontId="37" fillId="4" borderId="73" xfId="14" applyNumberFormat="1" applyFont="1" applyFill="1" applyBorder="1" applyAlignment="1" applyProtection="1"/>
    <xf numFmtId="0" fontId="38" fillId="4" borderId="74" xfId="14" applyNumberFormat="1" applyFont="1" applyFill="1" applyBorder="1" applyAlignment="1" applyProtection="1">
      <alignment horizontal="center" vertical="top" textRotation="90" wrapText="1"/>
    </xf>
    <xf numFmtId="0" fontId="0" fillId="2" borderId="73" xfId="8" applyFont="1" applyFill="1" applyBorder="1" applyAlignment="1">
      <alignment horizontal="center"/>
    </xf>
    <xf numFmtId="0" fontId="1" fillId="2" borderId="75" xfId="8" applyFont="1" applyFill="1" applyBorder="1" applyAlignment="1">
      <alignment horizontal="center"/>
    </xf>
    <xf numFmtId="0" fontId="0" fillId="2" borderId="75" xfId="8" applyFont="1" applyFill="1" applyBorder="1" applyAlignment="1">
      <alignment horizontal="center"/>
    </xf>
    <xf numFmtId="0" fontId="4" fillId="2" borderId="76" xfId="8" applyFont="1" applyFill="1" applyBorder="1" applyAlignment="1">
      <alignment horizontal="right"/>
    </xf>
    <xf numFmtId="0" fontId="0" fillId="0" borderId="72" xfId="8" applyFont="1" applyBorder="1" applyAlignment="1">
      <alignment horizontal="center"/>
    </xf>
    <xf numFmtId="0" fontId="4" fillId="0" borderId="72" xfId="8" applyFont="1" applyFill="1" applyBorder="1" applyAlignment="1">
      <alignment horizontal="center"/>
    </xf>
    <xf numFmtId="0" fontId="4" fillId="2" borderId="72" xfId="8" applyFont="1" applyFill="1" applyBorder="1" applyAlignment="1">
      <alignment horizontal="right"/>
    </xf>
    <xf numFmtId="0" fontId="35" fillId="0" borderId="72" xfId="9" applyFont="1" applyFill="1" applyBorder="1" applyAlignment="1">
      <alignment horizontal="center"/>
    </xf>
    <xf numFmtId="0" fontId="39" fillId="0" borderId="72" xfId="9" applyFont="1" applyFill="1" applyBorder="1" applyAlignment="1"/>
    <xf numFmtId="0" fontId="1" fillId="7" borderId="72" xfId="8" applyFont="1" applyFill="1" applyBorder="1" applyAlignment="1">
      <alignment horizontal="center"/>
    </xf>
    <xf numFmtId="0" fontId="1" fillId="0" borderId="72" xfId="8" applyFont="1" applyFill="1" applyBorder="1" applyAlignment="1">
      <alignment horizontal="center"/>
    </xf>
    <xf numFmtId="0" fontId="1" fillId="11" borderId="72" xfId="8" applyFont="1" applyFill="1" applyBorder="1" applyAlignment="1">
      <alignment horizontal="center"/>
    </xf>
    <xf numFmtId="0" fontId="27" fillId="4" borderId="72" xfId="11" applyFont="1" applyFill="1" applyBorder="1" applyAlignment="1">
      <alignment horizontal="center"/>
    </xf>
    <xf numFmtId="0" fontId="6" fillId="4" borderId="72" xfId="2" applyFont="1" applyFill="1" applyBorder="1" applyAlignment="1">
      <alignment horizontal="center"/>
    </xf>
    <xf numFmtId="0" fontId="6" fillId="4" borderId="77" xfId="2" applyFont="1" applyFill="1" applyBorder="1" applyAlignment="1">
      <alignment horizontal="center"/>
    </xf>
    <xf numFmtId="0" fontId="1" fillId="4" borderId="78" xfId="14" applyNumberFormat="1" applyFont="1" applyFill="1" applyBorder="1" applyAlignment="1">
      <alignment horizontal="center"/>
    </xf>
    <xf numFmtId="0" fontId="27" fillId="4" borderId="74" xfId="11" applyFont="1" applyFill="1" applyBorder="1" applyAlignment="1">
      <alignment horizontal="center"/>
    </xf>
    <xf numFmtId="0" fontId="40" fillId="0" borderId="72" xfId="8" applyFont="1" applyFill="1" applyBorder="1" applyAlignment="1"/>
    <xf numFmtId="0" fontId="32" fillId="0" borderId="72" xfId="8" applyFont="1" applyBorder="1" applyAlignment="1"/>
    <xf numFmtId="0" fontId="41" fillId="0" borderId="72" xfId="8" applyFont="1" applyFill="1" applyBorder="1" applyAlignment="1"/>
    <xf numFmtId="0" fontId="42" fillId="0" borderId="72" xfId="8" applyFont="1" applyBorder="1" applyAlignment="1">
      <alignment horizontal="center"/>
    </xf>
    <xf numFmtId="0" fontId="43" fillId="0" borderId="72" xfId="8" applyFont="1" applyBorder="1" applyAlignment="1">
      <alignment horizontal="center"/>
    </xf>
    <xf numFmtId="0" fontId="29" fillId="0" borderId="72" xfId="8" applyFont="1" applyBorder="1" applyAlignment="1">
      <alignment horizontal="center"/>
    </xf>
    <xf numFmtId="0" fontId="4" fillId="2" borderId="72" xfId="8" applyFont="1" applyFill="1" applyBorder="1" applyAlignment="1"/>
    <xf numFmtId="0" fontId="4" fillId="0" borderId="72" xfId="8" applyFont="1" applyBorder="1" applyAlignment="1">
      <alignment horizontal="center"/>
    </xf>
    <xf numFmtId="0" fontId="28" fillId="0" borderId="72" xfId="9" applyFont="1" applyFill="1" applyBorder="1" applyAlignment="1">
      <alignment horizontal="center"/>
    </xf>
    <xf numFmtId="0" fontId="42" fillId="0" borderId="72" xfId="9" applyFont="1" applyFill="1" applyBorder="1" applyAlignment="1">
      <alignment horizontal="center"/>
    </xf>
    <xf numFmtId="0" fontId="29" fillId="4" borderId="72" xfId="9" applyFont="1" applyFill="1" applyBorder="1" applyAlignment="1">
      <alignment horizontal="center"/>
    </xf>
    <xf numFmtId="0" fontId="44" fillId="0" borderId="72" xfId="8" applyFont="1" applyFill="1" applyBorder="1" applyAlignment="1">
      <alignment horizontal="center"/>
    </xf>
    <xf numFmtId="0" fontId="14" fillId="0" borderId="72" xfId="8" applyFont="1" applyFill="1" applyBorder="1" applyAlignment="1">
      <alignment horizontal="center"/>
    </xf>
    <xf numFmtId="0" fontId="4" fillId="2" borderId="72" xfId="8" applyFont="1" applyFill="1" applyBorder="1" applyAlignment="1">
      <alignment horizontal="center"/>
    </xf>
    <xf numFmtId="0" fontId="32" fillId="0" borderId="72" xfId="8" applyFont="1" applyFill="1" applyBorder="1" applyAlignment="1">
      <alignment horizontal="center"/>
    </xf>
    <xf numFmtId="0" fontId="32" fillId="0" borderId="72" xfId="12" applyFont="1" applyFill="1" applyBorder="1" applyAlignment="1">
      <alignment horizontal="center"/>
    </xf>
    <xf numFmtId="0" fontId="6" fillId="4" borderId="72" xfId="2" applyFill="1" applyBorder="1" applyAlignment="1">
      <alignment horizontal="center"/>
    </xf>
    <xf numFmtId="0" fontId="45" fillId="4" borderId="72" xfId="11" applyFont="1" applyFill="1" applyBorder="1" applyAlignment="1">
      <alignment horizontal="center"/>
    </xf>
    <xf numFmtId="0" fontId="45" fillId="4" borderId="79" xfId="11" applyFont="1" applyFill="1" applyBorder="1" applyAlignment="1">
      <alignment horizontal="center"/>
    </xf>
    <xf numFmtId="0" fontId="4" fillId="4" borderId="80" xfId="11" applyFont="1" applyFill="1" applyBorder="1" applyAlignment="1">
      <alignment horizontal="center"/>
    </xf>
    <xf numFmtId="0" fontId="6" fillId="4" borderId="74" xfId="2" applyFill="1" applyBorder="1" applyAlignment="1">
      <alignment horizontal="center"/>
    </xf>
    <xf numFmtId="0" fontId="1" fillId="0" borderId="61" xfId="8" applyFont="1" applyFill="1" applyBorder="1" applyAlignment="1">
      <alignment textRotation="90"/>
    </xf>
    <xf numFmtId="0" fontId="1" fillId="0" borderId="0" xfId="8" applyFont="1" applyFill="1" applyBorder="1" applyAlignment="1">
      <alignment textRotation="90"/>
    </xf>
    <xf numFmtId="0" fontId="1" fillId="0" borderId="0" xfId="8" applyFont="1" applyFill="1" applyAlignment="1">
      <alignment textRotation="90"/>
    </xf>
    <xf numFmtId="0" fontId="14" fillId="0" borderId="72" xfId="8" applyFont="1" applyFill="1" applyBorder="1" applyAlignment="1"/>
    <xf numFmtId="0" fontId="32" fillId="0" borderId="72" xfId="8" applyFont="1" applyFill="1" applyBorder="1" applyAlignment="1"/>
    <xf numFmtId="0" fontId="44" fillId="0" borderId="72" xfId="8" applyFont="1" applyFill="1" applyBorder="1" applyAlignment="1"/>
    <xf numFmtId="0" fontId="42" fillId="0" borderId="72" xfId="8" applyFont="1" applyFill="1" applyBorder="1" applyAlignment="1"/>
    <xf numFmtId="0" fontId="43" fillId="0" borderId="72" xfId="8" applyFont="1" applyFill="1" applyBorder="1" applyAlignment="1"/>
    <xf numFmtId="0" fontId="29" fillId="0" borderId="72" xfId="8" applyFont="1" applyFill="1" applyBorder="1" applyAlignment="1"/>
    <xf numFmtId="0" fontId="32" fillId="0" borderId="72" xfId="8" applyFont="1" applyFill="1" applyBorder="1" applyAlignment="1">
      <alignment horizontal="right"/>
    </xf>
    <xf numFmtId="0" fontId="1" fillId="0" borderId="72" xfId="8" applyFont="1" applyFill="1" applyBorder="1" applyAlignment="1"/>
    <xf numFmtId="0" fontId="28" fillId="0" borderId="72" xfId="10" applyFont="1" applyFill="1" applyBorder="1" applyAlignment="1">
      <alignment horizontal="center"/>
    </xf>
    <xf numFmtId="0" fontId="42" fillId="0" borderId="72" xfId="10" applyFont="1" applyFill="1" applyBorder="1" applyAlignment="1">
      <alignment horizontal="center"/>
    </xf>
    <xf numFmtId="0" fontId="1" fillId="4" borderId="72" xfId="10" applyFont="1" applyFill="1" applyBorder="1" applyAlignment="1">
      <alignment horizontal="center"/>
    </xf>
    <xf numFmtId="0" fontId="44" fillId="0" borderId="72" xfId="10" applyFont="1" applyFill="1" applyBorder="1" applyAlignment="1">
      <alignment horizontal="center"/>
    </xf>
    <xf numFmtId="0" fontId="14" fillId="0" borderId="72" xfId="10" applyFont="1" applyFill="1" applyBorder="1" applyAlignment="1">
      <alignment horizontal="center"/>
    </xf>
    <xf numFmtId="0" fontId="4" fillId="2" borderId="72" xfId="8" applyNumberFormat="1" applyFont="1" applyFill="1" applyBorder="1" applyAlignment="1">
      <alignment horizontal="center"/>
    </xf>
    <xf numFmtId="0" fontId="32" fillId="0" borderId="72" xfId="10" applyFont="1" applyFill="1" applyBorder="1" applyAlignment="1">
      <alignment horizontal="center"/>
    </xf>
    <xf numFmtId="0" fontId="32" fillId="11" borderId="72" xfId="10" applyFont="1" applyFill="1" applyBorder="1" applyAlignment="1">
      <alignment horizontal="center"/>
    </xf>
    <xf numFmtId="0" fontId="1" fillId="0" borderId="72" xfId="11" applyFont="1" applyFill="1" applyBorder="1" applyAlignment="1">
      <alignment horizontal="center"/>
    </xf>
    <xf numFmtId="0" fontId="46" fillId="0" borderId="72" xfId="8" applyFont="1" applyFill="1" applyBorder="1" applyAlignment="1">
      <alignment horizontal="center"/>
    </xf>
    <xf numFmtId="0" fontId="1" fillId="0" borderId="73" xfId="8" applyFont="1" applyFill="1" applyBorder="1" applyAlignment="1">
      <alignment horizontal="center"/>
    </xf>
    <xf numFmtId="167" fontId="28" fillId="0" borderId="74" xfId="8" applyNumberFormat="1" applyFont="1" applyFill="1" applyBorder="1" applyAlignment="1">
      <alignment horizontal="center"/>
    </xf>
    <xf numFmtId="166" fontId="1" fillId="0" borderId="0" xfId="8" applyNumberFormat="1" applyFont="1" applyFill="1" applyBorder="1" applyAlignment="1">
      <alignment horizontal="center"/>
    </xf>
    <xf numFmtId="166" fontId="1" fillId="0" borderId="0" xfId="8" applyNumberFormat="1" applyFont="1" applyFill="1" applyAlignment="1">
      <alignment horizontal="center"/>
    </xf>
    <xf numFmtId="0" fontId="47" fillId="0" borderId="0" xfId="8" applyNumberFormat="1" applyFont="1" applyFill="1" applyAlignment="1"/>
    <xf numFmtId="0" fontId="46" fillId="0" borderId="0" xfId="8" applyNumberFormat="1" applyFont="1" applyFill="1" applyAlignment="1"/>
    <xf numFmtId="0" fontId="0" fillId="0" borderId="72" xfId="8" applyFont="1" applyFill="1" applyBorder="1" applyAlignment="1"/>
    <xf numFmtId="0" fontId="0" fillId="0" borderId="72" xfId="7" applyFont="1" applyFill="1" applyBorder="1" applyAlignment="1"/>
    <xf numFmtId="0" fontId="1" fillId="0" borderId="72" xfId="7" applyFont="1" applyFill="1" applyBorder="1" applyAlignment="1"/>
    <xf numFmtId="0" fontId="0" fillId="4" borderId="72" xfId="10" applyFont="1" applyFill="1" applyBorder="1" applyAlignment="1">
      <alignment horizontal="center"/>
    </xf>
    <xf numFmtId="0" fontId="4" fillId="2" borderId="81" xfId="8" applyFont="1" applyFill="1" applyBorder="1" applyAlignment="1">
      <alignment horizontal="right"/>
    </xf>
    <xf numFmtId="0" fontId="28" fillId="0" borderId="81" xfId="10" applyFont="1" applyFill="1" applyBorder="1" applyAlignment="1">
      <alignment horizontal="center"/>
    </xf>
    <xf numFmtId="0" fontId="42" fillId="0" borderId="81" xfId="10" applyFont="1" applyFill="1" applyBorder="1" applyAlignment="1">
      <alignment horizontal="center"/>
    </xf>
    <xf numFmtId="0" fontId="1" fillId="4" borderId="81" xfId="10" applyFont="1" applyFill="1" applyBorder="1" applyAlignment="1">
      <alignment horizontal="center"/>
    </xf>
    <xf numFmtId="0" fontId="44" fillId="0" borderId="81" xfId="10" applyFont="1" applyFill="1" applyBorder="1" applyAlignment="1">
      <alignment horizontal="center"/>
    </xf>
    <xf numFmtId="0" fontId="14" fillId="0" borderId="81" xfId="10" applyFont="1" applyFill="1" applyBorder="1" applyAlignment="1">
      <alignment horizontal="center"/>
    </xf>
    <xf numFmtId="0" fontId="32" fillId="0" borderId="81" xfId="10" applyFont="1" applyFill="1" applyBorder="1" applyAlignment="1">
      <alignment horizontal="center"/>
    </xf>
    <xf numFmtId="0" fontId="32" fillId="11" borderId="81" xfId="10" applyFont="1" applyFill="1" applyBorder="1" applyAlignment="1">
      <alignment horizontal="center"/>
    </xf>
    <xf numFmtId="0" fontId="1" fillId="0" borderId="0" xfId="8" applyFont="1" applyFill="1" applyBorder="1" applyAlignment="1"/>
    <xf numFmtId="0" fontId="4" fillId="2" borderId="82" xfId="8" applyFont="1" applyFill="1" applyBorder="1" applyAlignment="1">
      <alignment horizontal="right"/>
    </xf>
    <xf numFmtId="0" fontId="28" fillId="0" borderId="82" xfId="10" applyFont="1" applyFill="1" applyBorder="1" applyAlignment="1">
      <alignment horizontal="center"/>
    </xf>
    <xf numFmtId="0" fontId="42" fillId="0" borderId="82" xfId="10" applyFont="1" applyFill="1" applyBorder="1" applyAlignment="1">
      <alignment horizontal="center"/>
    </xf>
    <xf numFmtId="0" fontId="1" fillId="4" borderId="82" xfId="10" applyFont="1" applyFill="1" applyBorder="1" applyAlignment="1">
      <alignment horizontal="center"/>
    </xf>
    <xf numFmtId="0" fontId="44" fillId="0" borderId="82" xfId="10" applyFont="1" applyFill="1" applyBorder="1" applyAlignment="1">
      <alignment horizontal="center"/>
    </xf>
    <xf numFmtId="0" fontId="32" fillId="0" borderId="82" xfId="10" applyFont="1" applyFill="1" applyBorder="1" applyAlignment="1">
      <alignment horizontal="center"/>
    </xf>
    <xf numFmtId="0" fontId="32" fillId="11" borderId="82" xfId="10" applyFont="1" applyFill="1" applyBorder="1" applyAlignment="1">
      <alignment horizontal="center"/>
    </xf>
    <xf numFmtId="0" fontId="44" fillId="10" borderId="72" xfId="10" applyFont="1" applyFill="1" applyBorder="1" applyAlignment="1">
      <alignment horizontal="center"/>
    </xf>
    <xf numFmtId="0" fontId="14" fillId="10" borderId="72" xfId="10" applyFont="1" applyFill="1" applyBorder="1" applyAlignment="1">
      <alignment horizontal="center"/>
    </xf>
    <xf numFmtId="0" fontId="14" fillId="2" borderId="0" xfId="8" applyFont="1" applyFill="1" applyAlignment="1"/>
    <xf numFmtId="0" fontId="4" fillId="2" borderId="0" xfId="8" applyFont="1" applyFill="1" applyAlignment="1"/>
    <xf numFmtId="0" fontId="44" fillId="2" borderId="0" xfId="8" applyFont="1" applyFill="1" applyAlignment="1"/>
    <xf numFmtId="0" fontId="42" fillId="2" borderId="0" xfId="8" applyFont="1" applyFill="1" applyAlignment="1"/>
    <xf numFmtId="0" fontId="28" fillId="2" borderId="0" xfId="8" applyFont="1" applyFill="1" applyAlignment="1"/>
    <xf numFmtId="0" fontId="29" fillId="2" borderId="0" xfId="8" applyFont="1" applyFill="1" applyAlignment="1"/>
    <xf numFmtId="0" fontId="1" fillId="2" borderId="0" xfId="8" applyFont="1" applyFill="1" applyAlignment="1">
      <alignment horizontal="right"/>
    </xf>
    <xf numFmtId="0" fontId="4" fillId="2" borderId="0" xfId="8" applyFont="1" applyFill="1" applyAlignment="1">
      <alignment horizontal="center"/>
    </xf>
    <xf numFmtId="166" fontId="1" fillId="2" borderId="0" xfId="8" applyNumberFormat="1" applyFont="1" applyFill="1" applyAlignment="1">
      <alignment horizontal="center"/>
    </xf>
    <xf numFmtId="166" fontId="25" fillId="2" borderId="83" xfId="8" applyNumberFormat="1" applyFont="1" applyFill="1" applyBorder="1" applyAlignment="1">
      <alignment horizontal="center"/>
    </xf>
    <xf numFmtId="166" fontId="1" fillId="2" borderId="0" xfId="8" applyNumberFormat="1" applyFont="1" applyFill="1" applyAlignment="1"/>
    <xf numFmtId="1" fontId="1" fillId="2" borderId="0" xfId="8" applyNumberFormat="1" applyFont="1" applyFill="1" applyAlignment="1">
      <alignment horizontal="center"/>
    </xf>
    <xf numFmtId="1" fontId="25" fillId="2" borderId="0" xfId="8" applyNumberFormat="1" applyFont="1" applyFill="1" applyBorder="1" applyAlignment="1">
      <alignment horizontal="center"/>
    </xf>
    <xf numFmtId="0" fontId="4" fillId="0" borderId="0" xfId="8" applyFont="1" applyFill="1" applyAlignment="1">
      <alignment horizontal="center"/>
    </xf>
    <xf numFmtId="0" fontId="0" fillId="0" borderId="0" xfId="0" applyAlignment="1">
      <alignment horizontal="right"/>
    </xf>
    <xf numFmtId="0" fontId="0" fillId="0" borderId="1" xfId="0" applyBorder="1" applyAlignment="1">
      <alignment horizontal="center"/>
    </xf>
    <xf numFmtId="0" fontId="0" fillId="7" borderId="0" xfId="0" applyFill="1"/>
    <xf numFmtId="0" fontId="1" fillId="7" borderId="1" xfId="9" applyFont="1" applyFill="1" applyBorder="1" applyAlignment="1">
      <alignment horizontal="center"/>
    </xf>
    <xf numFmtId="0" fontId="0" fillId="7" borderId="1" xfId="0" applyFill="1" applyBorder="1" applyAlignment="1">
      <alignment horizontal="center"/>
    </xf>
    <xf numFmtId="0" fontId="18" fillId="10" borderId="0" xfId="0" applyFont="1" applyFill="1"/>
    <xf numFmtId="0" fontId="1" fillId="0" borderId="0" xfId="7" applyFont="1"/>
    <xf numFmtId="0" fontId="1" fillId="0" borderId="0" xfId="7" applyFont="1" applyFill="1"/>
    <xf numFmtId="0" fontId="1" fillId="0" borderId="0" xfId="7" applyFont="1" applyFill="1" applyAlignment="1"/>
    <xf numFmtId="0" fontId="1" fillId="0" borderId="0" xfId="7" applyFont="1" applyFill="1" applyBorder="1" applyAlignment="1"/>
    <xf numFmtId="0" fontId="1" fillId="0" borderId="0" xfId="7" applyFont="1" applyBorder="1"/>
    <xf numFmtId="0" fontId="1" fillId="2" borderId="0" xfId="7" applyFont="1" applyFill="1"/>
    <xf numFmtId="0" fontId="1" fillId="0" borderId="0" xfId="1" applyFont="1"/>
    <xf numFmtId="0" fontId="24" fillId="0" borderId="0" xfId="7" applyFont="1" applyAlignment="1">
      <alignment horizontal="right"/>
    </xf>
    <xf numFmtId="0" fontId="1" fillId="4" borderId="0" xfId="7" applyFont="1" applyFill="1"/>
    <xf numFmtId="0" fontId="0" fillId="4" borderId="0" xfId="0" applyFont="1" applyFill="1" applyAlignment="1">
      <alignment horizontal="right"/>
    </xf>
    <xf numFmtId="0" fontId="0" fillId="0" borderId="0" xfId="0" applyFont="1" applyAlignment="1">
      <alignment horizontal="center"/>
    </xf>
    <xf numFmtId="0" fontId="0" fillId="0" borderId="0" xfId="7" applyFont="1"/>
    <xf numFmtId="0" fontId="1" fillId="7" borderId="0" xfId="7" applyFont="1" applyFill="1"/>
    <xf numFmtId="0" fontId="0" fillId="7" borderId="0" xfId="0" applyFont="1" applyFill="1" applyAlignment="1">
      <alignment horizontal="right"/>
    </xf>
    <xf numFmtId="0" fontId="18" fillId="0" borderId="0" xfId="7" applyFont="1"/>
    <xf numFmtId="0" fontId="1" fillId="17" borderId="0" xfId="7" applyFont="1" applyFill="1"/>
    <xf numFmtId="0" fontId="0" fillId="17" borderId="0" xfId="0" applyFont="1" applyFill="1" applyAlignment="1">
      <alignment horizontal="right"/>
    </xf>
    <xf numFmtId="0" fontId="4" fillId="4" borderId="84" xfId="7" applyFont="1" applyFill="1" applyBorder="1" applyAlignment="1">
      <alignment horizontal="center"/>
    </xf>
    <xf numFmtId="0" fontId="1" fillId="0" borderId="84" xfId="7" applyFont="1" applyBorder="1"/>
    <xf numFmtId="0" fontId="1" fillId="0" borderId="84" xfId="7" applyFont="1" applyBorder="1" applyAlignment="1"/>
    <xf numFmtId="0" fontId="0" fillId="0" borderId="84" xfId="7" applyFont="1" applyBorder="1" applyAlignment="1"/>
    <xf numFmtId="0" fontId="4" fillId="0" borderId="84" xfId="7" applyFont="1" applyBorder="1" applyAlignment="1">
      <alignment horizontal="center"/>
    </xf>
    <xf numFmtId="0" fontId="4" fillId="0" borderId="84" xfId="7" applyFont="1" applyFill="1" applyBorder="1" applyAlignment="1">
      <alignment horizontal="center"/>
    </xf>
    <xf numFmtId="0" fontId="4" fillId="0" borderId="84" xfId="6" applyFont="1" applyBorder="1" applyAlignment="1">
      <alignment horizontal="center"/>
    </xf>
    <xf numFmtId="0" fontId="4" fillId="0" borderId="1" xfId="0" applyFont="1" applyBorder="1" applyAlignment="1">
      <alignment horizontal="center"/>
    </xf>
    <xf numFmtId="0" fontId="4" fillId="0" borderId="68" xfId="0" applyFont="1" applyBorder="1" applyAlignment="1"/>
    <xf numFmtId="0" fontId="4" fillId="0" borderId="69" xfId="0" applyFont="1" applyBorder="1" applyAlignment="1"/>
    <xf numFmtId="0" fontId="4" fillId="0" borderId="70" xfId="0" applyFont="1" applyBorder="1" applyAlignment="1"/>
    <xf numFmtId="0" fontId="4" fillId="0" borderId="1" xfId="0" applyFont="1" applyBorder="1" applyAlignment="1"/>
    <xf numFmtId="0" fontId="4" fillId="0" borderId="69" xfId="7" applyFont="1" applyBorder="1" applyAlignment="1">
      <alignment horizontal="center"/>
    </xf>
    <xf numFmtId="0" fontId="1" fillId="0" borderId="70" xfId="7" applyFont="1" applyBorder="1"/>
    <xf numFmtId="0" fontId="1" fillId="0" borderId="84" xfId="6" applyFont="1" applyBorder="1" applyAlignment="1"/>
    <xf numFmtId="0" fontId="4" fillId="0" borderId="1" xfId="0" applyFont="1" applyBorder="1" applyAlignment="1">
      <alignment vertical="center"/>
    </xf>
    <xf numFmtId="0" fontId="0" fillId="0" borderId="1" xfId="7" applyFont="1" applyFill="1" applyBorder="1" applyAlignment="1">
      <alignment vertical="center" wrapText="1"/>
    </xf>
    <xf numFmtId="0" fontId="0" fillId="0" borderId="68" xfId="0" applyNumberFormat="1" applyFont="1" applyFill="1" applyBorder="1" applyAlignment="1">
      <alignment horizontal="center" vertical="center"/>
    </xf>
    <xf numFmtId="49" fontId="0" fillId="0" borderId="69" xfId="0" applyNumberFormat="1" applyFont="1" applyFill="1" applyBorder="1" applyAlignment="1">
      <alignment horizontal="center" vertical="center"/>
    </xf>
    <xf numFmtId="0" fontId="0" fillId="0" borderId="69" xfId="0" applyNumberFormat="1" applyFont="1" applyFill="1" applyBorder="1" applyAlignment="1">
      <alignment horizontal="center" vertical="center"/>
    </xf>
    <xf numFmtId="0" fontId="0" fillId="0" borderId="69" xfId="0" applyNumberFormat="1" applyFill="1" applyBorder="1" applyAlignment="1">
      <alignment vertical="center"/>
    </xf>
    <xf numFmtId="0" fontId="4" fillId="0" borderId="1" xfId="0" applyNumberFormat="1" applyFont="1" applyFill="1" applyBorder="1" applyAlignment="1">
      <alignment horizontal="center" vertical="center"/>
    </xf>
    <xf numFmtId="0" fontId="4" fillId="0" borderId="68" xfId="0" applyNumberFormat="1" applyFont="1" applyFill="1" applyBorder="1" applyAlignment="1">
      <alignment horizontal="center" vertical="center"/>
    </xf>
    <xf numFmtId="0" fontId="0" fillId="0" borderId="70" xfId="0" applyNumberFormat="1" applyFont="1" applyFill="1" applyBorder="1" applyAlignment="1">
      <alignment horizontal="center" vertical="center"/>
    </xf>
    <xf numFmtId="168" fontId="1" fillId="0" borderId="0" xfId="7" applyNumberFormat="1" applyFont="1" applyFill="1" applyAlignment="1">
      <alignment vertical="center"/>
    </xf>
    <xf numFmtId="168" fontId="0" fillId="0" borderId="0" xfId="0" applyNumberFormat="1" applyFill="1"/>
    <xf numFmtId="0" fontId="0" fillId="0" borderId="1" xfId="7" applyFont="1" applyBorder="1" applyAlignment="1">
      <alignment vertical="center" wrapText="1"/>
    </xf>
    <xf numFmtId="0" fontId="1" fillId="0" borderId="0" xfId="7" applyFont="1" applyAlignment="1">
      <alignment horizontal="right"/>
    </xf>
    <xf numFmtId="0" fontId="0" fillId="0" borderId="0" xfId="7" applyFont="1" applyAlignment="1">
      <alignment horizontal="right"/>
    </xf>
    <xf numFmtId="0" fontId="4" fillId="0" borderId="1" xfId="8" applyFont="1" applyBorder="1" applyAlignment="1">
      <alignment vertical="center"/>
    </xf>
    <xf numFmtId="0" fontId="1" fillId="0" borderId="1" xfId="6" applyFont="1" applyFill="1" applyBorder="1" applyAlignment="1">
      <alignment vertical="center" wrapText="1"/>
    </xf>
    <xf numFmtId="0" fontId="1" fillId="0" borderId="0" xfId="7" applyFont="1" applyAlignment="1">
      <alignment vertical="center"/>
    </xf>
    <xf numFmtId="0" fontId="1" fillId="0" borderId="0" xfId="6" applyFont="1"/>
    <xf numFmtId="20" fontId="1" fillId="0" borderId="0" xfId="7" applyNumberFormat="1" applyFont="1"/>
    <xf numFmtId="0" fontId="24" fillId="0" borderId="0" xfId="11" applyFont="1" applyBorder="1" applyAlignment="1"/>
    <xf numFmtId="0" fontId="1" fillId="9" borderId="1" xfId="8" applyNumberFormat="1" applyFont="1" applyFill="1" applyBorder="1" applyAlignment="1"/>
    <xf numFmtId="0" fontId="27" fillId="9" borderId="1" xfId="5" applyFont="1" applyFill="1" applyBorder="1" applyAlignment="1">
      <alignment horizontal="center"/>
    </xf>
    <xf numFmtId="0" fontId="6" fillId="9" borderId="1" xfId="2" applyFill="1" applyBorder="1" applyAlignment="1">
      <alignment horizontal="center"/>
    </xf>
    <xf numFmtId="0" fontId="4" fillId="0" borderId="84" xfId="6" applyFont="1" applyBorder="1" applyAlignment="1">
      <alignment horizontal="center" vertical="center"/>
    </xf>
    <xf numFmtId="0" fontId="1" fillId="2" borderId="84" xfId="7" applyFont="1" applyFill="1" applyBorder="1" applyAlignment="1">
      <alignment horizontal="center" vertical="center"/>
    </xf>
    <xf numFmtId="0" fontId="1" fillId="2" borderId="84" xfId="7" applyFont="1" applyFill="1" applyBorder="1" applyAlignment="1">
      <alignment vertical="center"/>
    </xf>
    <xf numFmtId="0" fontId="0" fillId="0" borderId="0" xfId="0" applyAlignment="1">
      <alignment vertical="center"/>
    </xf>
    <xf numFmtId="0" fontId="4" fillId="0" borderId="0" xfId="6" applyFont="1"/>
    <xf numFmtId="0" fontId="1" fillId="0" borderId="85" xfId="10" applyFont="1" applyBorder="1" applyAlignment="1"/>
    <xf numFmtId="0" fontId="4" fillId="0" borderId="85" xfId="10" applyFont="1" applyBorder="1" applyAlignment="1">
      <alignment horizontal="center"/>
    </xf>
    <xf numFmtId="0" fontId="1" fillId="0" borderId="86" xfId="10" applyFont="1" applyBorder="1" applyAlignment="1"/>
    <xf numFmtId="0" fontId="1" fillId="0" borderId="87" xfId="10" applyFont="1" applyBorder="1" applyAlignment="1"/>
    <xf numFmtId="0" fontId="1" fillId="0" borderId="88" xfId="10" applyFont="1" applyBorder="1" applyAlignment="1"/>
    <xf numFmtId="0" fontId="1" fillId="0" borderId="85" xfId="10" applyFont="1" applyFill="1" applyBorder="1" applyAlignment="1"/>
    <xf numFmtId="0" fontId="4" fillId="0" borderId="85" xfId="8" applyFont="1" applyBorder="1" applyAlignment="1"/>
    <xf numFmtId="0" fontId="4" fillId="0" borderId="87" xfId="8" applyFont="1" applyBorder="1" applyAlignment="1">
      <alignment horizontal="center"/>
    </xf>
    <xf numFmtId="0" fontId="4" fillId="0" borderId="89" xfId="8" applyFont="1" applyBorder="1" applyAlignment="1">
      <alignment horizontal="center"/>
    </xf>
    <xf numFmtId="0" fontId="4" fillId="0" borderId="90" xfId="8" applyFont="1" applyBorder="1" applyAlignment="1">
      <alignment horizontal="center"/>
    </xf>
    <xf numFmtId="0" fontId="4" fillId="0" borderId="91" xfId="8" applyFont="1" applyBorder="1" applyAlignment="1">
      <alignment horizontal="center"/>
    </xf>
    <xf numFmtId="0" fontId="4" fillId="0" borderId="87" xfId="8" applyFont="1" applyFill="1" applyBorder="1" applyAlignment="1">
      <alignment horizontal="center"/>
    </xf>
    <xf numFmtId="0" fontId="4" fillId="0" borderId="85" xfId="8" applyFont="1" applyFill="1" applyBorder="1" applyAlignment="1">
      <alignment horizontal="center"/>
    </xf>
    <xf numFmtId="0" fontId="1" fillId="0" borderId="92" xfId="8" applyFont="1" applyBorder="1" applyAlignment="1"/>
    <xf numFmtId="0" fontId="4" fillId="0" borderId="93" xfId="8" applyFont="1" applyBorder="1" applyAlignment="1"/>
    <xf numFmtId="0" fontId="1" fillId="0" borderId="93" xfId="8" applyFont="1" applyBorder="1" applyAlignment="1">
      <alignment horizontal="center"/>
    </xf>
    <xf numFmtId="0" fontId="1" fillId="0" borderId="94" xfId="8" applyFont="1" applyBorder="1" applyAlignment="1">
      <alignment horizontal="center"/>
    </xf>
    <xf numFmtId="0" fontId="1" fillId="0" borderId="95" xfId="8" applyFont="1" applyBorder="1" applyAlignment="1">
      <alignment horizontal="center"/>
    </xf>
    <xf numFmtId="0" fontId="1" fillId="0" borderId="92" xfId="8" applyFont="1" applyFill="1" applyBorder="1" applyAlignment="1">
      <alignment horizontal="center"/>
    </xf>
    <xf numFmtId="0" fontId="1" fillId="2" borderId="96" xfId="8" applyFont="1" applyFill="1" applyBorder="1" applyAlignment="1"/>
    <xf numFmtId="0" fontId="0" fillId="2" borderId="97" xfId="8" applyFont="1" applyFill="1" applyBorder="1" applyAlignment="1"/>
    <xf numFmtId="0" fontId="1" fillId="2" borderId="97" xfId="10" applyFont="1" applyFill="1" applyBorder="1" applyAlignment="1">
      <alignment horizontal="center"/>
    </xf>
    <xf numFmtId="0" fontId="1" fillId="2" borderId="1" xfId="10" applyFont="1" applyFill="1" applyBorder="1" applyAlignment="1">
      <alignment horizontal="center"/>
    </xf>
    <xf numFmtId="0" fontId="1" fillId="2" borderId="68" xfId="10" applyFont="1" applyFill="1" applyBorder="1" applyAlignment="1">
      <alignment horizontal="center"/>
    </xf>
    <xf numFmtId="0" fontId="1" fillId="2" borderId="96" xfId="10" applyFont="1" applyFill="1" applyBorder="1" applyAlignment="1">
      <alignment horizontal="center"/>
    </xf>
    <xf numFmtId="0" fontId="1" fillId="0" borderId="96" xfId="8" applyFont="1" applyBorder="1" applyAlignment="1"/>
    <xf numFmtId="0" fontId="0" fillId="0" borderId="72" xfId="10" applyFont="1" applyBorder="1" applyAlignment="1">
      <alignment horizontal="left"/>
    </xf>
    <xf numFmtId="0" fontId="1" fillId="0" borderId="97" xfId="10" applyFont="1" applyFill="1" applyBorder="1" applyAlignment="1">
      <alignment horizontal="center"/>
    </xf>
    <xf numFmtId="0" fontId="1" fillId="0" borderId="1" xfId="10" applyFont="1" applyFill="1" applyBorder="1" applyAlignment="1">
      <alignment horizontal="center"/>
    </xf>
    <xf numFmtId="0" fontId="1" fillId="0" borderId="68" xfId="10" applyFont="1" applyFill="1" applyBorder="1" applyAlignment="1">
      <alignment horizontal="center"/>
    </xf>
    <xf numFmtId="0" fontId="1" fillId="0" borderId="96" xfId="10" applyFont="1" applyFill="1" applyBorder="1" applyAlignment="1">
      <alignment horizontal="center"/>
    </xf>
    <xf numFmtId="0" fontId="0" fillId="0" borderId="72" xfId="10" applyFont="1" applyBorder="1" applyAlignment="1"/>
    <xf numFmtId="0" fontId="0" fillId="2" borderId="97" xfId="10" applyFont="1" applyFill="1" applyBorder="1" applyAlignment="1"/>
    <xf numFmtId="0" fontId="0" fillId="0" borderId="98" xfId="10" applyFont="1" applyBorder="1" applyAlignment="1"/>
    <xf numFmtId="0" fontId="0" fillId="0" borderId="4" xfId="10" applyFont="1" applyBorder="1" applyAlignment="1"/>
    <xf numFmtId="0" fontId="1" fillId="0" borderId="99" xfId="10" applyFont="1" applyFill="1" applyBorder="1" applyAlignment="1">
      <alignment horizontal="center"/>
    </xf>
    <xf numFmtId="0" fontId="1" fillId="0" borderId="92" xfId="10" applyFont="1" applyBorder="1" applyAlignment="1"/>
    <xf numFmtId="0" fontId="1" fillId="2" borderId="96" xfId="10" applyFont="1" applyFill="1" applyBorder="1" applyAlignment="1"/>
    <xf numFmtId="0" fontId="1" fillId="2" borderId="72" xfId="10" applyFont="1" applyFill="1" applyBorder="1" applyAlignment="1"/>
    <xf numFmtId="0" fontId="1" fillId="2" borderId="97" xfId="8" applyFont="1" applyFill="1" applyBorder="1" applyAlignment="1">
      <alignment horizontal="center"/>
    </xf>
    <xf numFmtId="0" fontId="1" fillId="2" borderId="1" xfId="8" applyFont="1" applyFill="1" applyBorder="1" applyAlignment="1">
      <alignment horizontal="center"/>
    </xf>
    <xf numFmtId="0" fontId="1" fillId="2" borderId="68" xfId="8" applyFont="1" applyFill="1" applyBorder="1" applyAlignment="1">
      <alignment horizontal="center"/>
    </xf>
    <xf numFmtId="0" fontId="1" fillId="2" borderId="96" xfId="8" applyFont="1" applyFill="1" applyBorder="1" applyAlignment="1">
      <alignment horizontal="center"/>
    </xf>
    <xf numFmtId="0" fontId="1" fillId="0" borderId="96" xfId="10" applyFont="1" applyBorder="1" applyAlignment="1"/>
    <xf numFmtId="0" fontId="1" fillId="0" borderId="72" xfId="10" applyFont="1" applyFill="1" applyBorder="1" applyAlignment="1"/>
    <xf numFmtId="0" fontId="1" fillId="0" borderId="97" xfId="8" applyFont="1" applyBorder="1" applyAlignment="1">
      <alignment horizontal="center"/>
    </xf>
    <xf numFmtId="0" fontId="1" fillId="0" borderId="1" xfId="8" applyFont="1" applyBorder="1" applyAlignment="1">
      <alignment horizontal="center"/>
    </xf>
    <xf numFmtId="0" fontId="1" fillId="0" borderId="68" xfId="8" applyFont="1" applyBorder="1" applyAlignment="1">
      <alignment horizontal="center"/>
    </xf>
    <xf numFmtId="0" fontId="1" fillId="0" borderId="96" xfId="8" applyFont="1" applyFill="1" applyBorder="1" applyAlignment="1">
      <alignment horizontal="center"/>
    </xf>
    <xf numFmtId="0" fontId="1" fillId="0" borderId="99" xfId="10" applyFont="1" applyBorder="1" applyAlignment="1"/>
    <xf numFmtId="0" fontId="1" fillId="0" borderId="100" xfId="8" applyFont="1" applyBorder="1" applyAlignment="1">
      <alignment horizontal="center"/>
    </xf>
    <xf numFmtId="0" fontId="1" fillId="0" borderId="101" xfId="8" applyFont="1" applyBorder="1" applyAlignment="1">
      <alignment horizontal="center"/>
    </xf>
    <xf numFmtId="0" fontId="1" fillId="0" borderId="102" xfId="8" applyFont="1" applyBorder="1" applyAlignment="1">
      <alignment horizontal="center"/>
    </xf>
    <xf numFmtId="0" fontId="1" fillId="0" borderId="99" xfId="8" applyFont="1" applyFill="1" applyBorder="1" applyAlignment="1">
      <alignment horizontal="center"/>
    </xf>
    <xf numFmtId="0" fontId="4" fillId="0" borderId="103" xfId="8" applyFont="1" applyBorder="1" applyAlignment="1"/>
    <xf numFmtId="0" fontId="1" fillId="0" borderId="92" xfId="10" applyFont="1" applyFill="1" applyBorder="1" applyAlignment="1">
      <alignment horizontal="center"/>
    </xf>
    <xf numFmtId="0" fontId="4" fillId="0" borderId="96" xfId="8" applyFont="1" applyFill="1" applyBorder="1" applyAlignment="1">
      <alignment horizontal="center"/>
    </xf>
    <xf numFmtId="0" fontId="1" fillId="0" borderId="104" xfId="10" applyFont="1" applyFill="1" applyBorder="1" applyAlignment="1"/>
    <xf numFmtId="0" fontId="0" fillId="0" borderId="100" xfId="8" applyFont="1" applyBorder="1" applyAlignment="1">
      <alignment horizontal="center"/>
    </xf>
    <xf numFmtId="0" fontId="0" fillId="0" borderId="101" xfId="8" applyFont="1" applyBorder="1" applyAlignment="1">
      <alignment horizontal="center"/>
    </xf>
    <xf numFmtId="0" fontId="0" fillId="0" borderId="102" xfId="8" applyFont="1" applyBorder="1" applyAlignment="1">
      <alignment horizontal="center"/>
    </xf>
    <xf numFmtId="0" fontId="0" fillId="0" borderId="102" xfId="8" applyFont="1" applyFill="1" applyBorder="1" applyAlignment="1">
      <alignment horizontal="center"/>
    </xf>
    <xf numFmtId="0" fontId="4" fillId="0" borderId="99" xfId="8" applyFont="1" applyFill="1" applyBorder="1" applyAlignment="1">
      <alignment horizontal="center"/>
    </xf>
    <xf numFmtId="0" fontId="1" fillId="0" borderId="105" xfId="10" applyFont="1" applyFill="1" applyBorder="1" applyAlignment="1"/>
    <xf numFmtId="0" fontId="1" fillId="0" borderId="0" xfId="10" applyFont="1"/>
    <xf numFmtId="0" fontId="4" fillId="7" borderId="1" xfId="6" applyFont="1" applyFill="1" applyBorder="1" applyAlignment="1"/>
    <xf numFmtId="0" fontId="1" fillId="0" borderId="0" xfId="10" applyFont="1" applyAlignment="1"/>
    <xf numFmtId="0" fontId="1" fillId="2" borderId="1" xfId="10" applyFont="1" applyFill="1" applyBorder="1" applyAlignment="1"/>
    <xf numFmtId="0" fontId="1" fillId="15" borderId="1" xfId="10" applyFont="1" applyFill="1" applyBorder="1" applyAlignment="1"/>
    <xf numFmtId="0" fontId="1" fillId="0" borderId="1" xfId="6" applyFont="1" applyFill="1" applyBorder="1" applyAlignment="1"/>
    <xf numFmtId="0" fontId="0" fillId="0" borderId="0" xfId="10" applyFont="1"/>
    <xf numFmtId="0" fontId="0" fillId="0" borderId="1" xfId="6" applyFont="1" applyFill="1" applyBorder="1" applyAlignment="1"/>
    <xf numFmtId="0" fontId="1" fillId="0" borderId="1" xfId="10" applyFont="1" applyBorder="1" applyAlignment="1"/>
    <xf numFmtId="0" fontId="1" fillId="2" borderId="0" xfId="1" applyFont="1" applyFill="1"/>
    <xf numFmtId="0" fontId="18" fillId="0" borderId="0" xfId="1" applyFont="1"/>
    <xf numFmtId="0" fontId="4" fillId="4" borderId="84" xfId="1" applyFont="1" applyFill="1" applyBorder="1" applyAlignment="1">
      <alignment horizontal="center"/>
    </xf>
    <xf numFmtId="0" fontId="1" fillId="0" borderId="84" xfId="1" applyFont="1" applyBorder="1"/>
    <xf numFmtId="0" fontId="4" fillId="0" borderId="84" xfId="1" applyFont="1" applyBorder="1" applyAlignment="1">
      <alignment horizontal="center"/>
    </xf>
    <xf numFmtId="0" fontId="4" fillId="4" borderId="84" xfId="1" applyFont="1" applyFill="1" applyBorder="1" applyAlignment="1">
      <alignment horizontal="center" vertical="top"/>
    </xf>
    <xf numFmtId="0" fontId="4" fillId="0" borderId="0" xfId="8" applyFont="1" applyAlignment="1">
      <alignment vertical="center"/>
    </xf>
    <xf numFmtId="0" fontId="1" fillId="2" borderId="84" xfId="1" applyFont="1" applyFill="1" applyBorder="1"/>
    <xf numFmtId="0" fontId="1" fillId="2" borderId="84" xfId="1" applyFont="1" applyFill="1" applyBorder="1" applyAlignment="1">
      <alignment horizontal="center"/>
    </xf>
    <xf numFmtId="0" fontId="1" fillId="0" borderId="107" xfId="10" applyFont="1" applyBorder="1"/>
    <xf numFmtId="0" fontId="1" fillId="0" borderId="106" xfId="10" applyFont="1" applyFill="1" applyBorder="1" applyAlignment="1">
      <alignment horizontal="center"/>
    </xf>
    <xf numFmtId="0" fontId="1" fillId="0" borderId="106" xfId="8" applyFont="1" applyFill="1" applyBorder="1" applyAlignment="1">
      <alignment horizontal="center"/>
    </xf>
    <xf numFmtId="0" fontId="1" fillId="2" borderId="0" xfId="6" applyFont="1" applyFill="1"/>
    <xf numFmtId="0" fontId="4" fillId="2" borderId="0" xfId="0" applyFont="1" applyFill="1" applyAlignment="1"/>
    <xf numFmtId="0" fontId="4" fillId="0" borderId="1" xfId="6" applyFont="1" applyBorder="1" applyAlignment="1"/>
    <xf numFmtId="0" fontId="4" fillId="0" borderId="1" xfId="6" applyFont="1" applyFill="1" applyBorder="1" applyAlignment="1"/>
    <xf numFmtId="0" fontId="4" fillId="0" borderId="1" xfId="6" applyFont="1" applyBorder="1" applyAlignment="1">
      <alignment horizontal="center"/>
    </xf>
    <xf numFmtId="0" fontId="4" fillId="0" borderId="1" xfId="6" applyFont="1" applyFill="1" applyBorder="1" applyAlignment="1">
      <alignment horizontal="center"/>
    </xf>
    <xf numFmtId="0" fontId="4" fillId="0" borderId="0" xfId="7" applyFont="1" applyFill="1" applyAlignment="1">
      <alignment horizontal="center"/>
    </xf>
    <xf numFmtId="0" fontId="4" fillId="0" borderId="0" xfId="6" applyNumberFormat="1" applyFont="1" applyFill="1" applyAlignment="1">
      <alignment horizontal="center"/>
    </xf>
    <xf numFmtId="0" fontId="4" fillId="0" borderId="0" xfId="6" quotePrefix="1" applyFont="1" applyFill="1" applyAlignment="1">
      <alignment horizontal="center"/>
    </xf>
    <xf numFmtId="168" fontId="4" fillId="0" borderId="0" xfId="0" applyNumberFormat="1" applyFont="1" applyAlignment="1">
      <alignment horizontal="center"/>
    </xf>
    <xf numFmtId="0" fontId="39" fillId="0" borderId="0" xfId="6" applyFont="1" applyAlignment="1">
      <alignment horizontal="center"/>
    </xf>
    <xf numFmtId="0" fontId="39" fillId="0" borderId="0" xfId="6" applyNumberFormat="1" applyFont="1" applyAlignment="1">
      <alignment horizontal="center"/>
    </xf>
    <xf numFmtId="0" fontId="39" fillId="0" borderId="0" xfId="6" applyFont="1" applyFill="1" applyAlignment="1">
      <alignment horizontal="center"/>
    </xf>
    <xf numFmtId="0" fontId="0" fillId="0" borderId="1" xfId="7" applyFont="1" applyFill="1" applyBorder="1" applyAlignment="1"/>
    <xf numFmtId="0" fontId="1" fillId="18" borderId="1" xfId="6" applyFont="1" applyFill="1" applyBorder="1" applyAlignment="1">
      <alignment horizontal="center"/>
    </xf>
    <xf numFmtId="0" fontId="1" fillId="19" borderId="1" xfId="6" applyFont="1" applyFill="1" applyBorder="1" applyAlignment="1">
      <alignment horizontal="center"/>
    </xf>
    <xf numFmtId="0" fontId="1" fillId="0" borderId="1" xfId="6" applyFont="1" applyFill="1" applyBorder="1" applyAlignment="1">
      <alignment horizontal="center"/>
    </xf>
    <xf numFmtId="0" fontId="0" fillId="0" borderId="1" xfId="6" applyNumberFormat="1" applyFont="1" applyFill="1" applyBorder="1" applyAlignment="1">
      <alignment horizontal="center"/>
    </xf>
    <xf numFmtId="166" fontId="1" fillId="0" borderId="0" xfId="7" applyNumberFormat="1" applyFont="1" applyFill="1" applyAlignment="1">
      <alignment horizontal="center"/>
    </xf>
    <xf numFmtId="0" fontId="50" fillId="0" borderId="0" xfId="6" applyNumberFormat="1" applyFont="1" applyFill="1" applyBorder="1" applyAlignment="1">
      <alignment horizontal="center" wrapText="1"/>
    </xf>
    <xf numFmtId="168" fontId="1" fillId="0" borderId="0" xfId="6" applyNumberFormat="1" applyFont="1" applyFill="1" applyBorder="1" applyAlignment="1">
      <alignment horizontal="right" wrapText="1"/>
    </xf>
    <xf numFmtId="0" fontId="50" fillId="0" borderId="0" xfId="6" applyNumberFormat="1" applyFont="1" applyFill="1" applyBorder="1" applyAlignment="1">
      <alignment horizontal="center"/>
    </xf>
    <xf numFmtId="0" fontId="0" fillId="0" borderId="0" xfId="0" applyFill="1" applyAlignment="1">
      <alignment horizontal="right"/>
    </xf>
    <xf numFmtId="168" fontId="50" fillId="0" borderId="0" xfId="0" applyNumberFormat="1" applyFont="1" applyFill="1" applyAlignment="1"/>
    <xf numFmtId="168" fontId="0" fillId="0" borderId="0" xfId="0" applyNumberFormat="1" applyFill="1" applyAlignment="1"/>
    <xf numFmtId="0" fontId="32" fillId="0" borderId="0" xfId="6" applyFont="1" applyFill="1" applyBorder="1" applyAlignment="1">
      <alignment horizontal="center" wrapText="1"/>
    </xf>
    <xf numFmtId="1" fontId="32" fillId="0" borderId="0" xfId="6" applyNumberFormat="1" applyFont="1" applyFill="1" applyBorder="1" applyAlignment="1">
      <alignment horizontal="center" wrapText="1"/>
    </xf>
    <xf numFmtId="0" fontId="32" fillId="0" borderId="0" xfId="0" applyFont="1" applyFill="1" applyAlignment="1">
      <alignment horizontal="center"/>
    </xf>
    <xf numFmtId="0" fontId="0" fillId="0" borderId="1" xfId="0" applyBorder="1" applyAlignment="1"/>
    <xf numFmtId="166" fontId="1" fillId="0" borderId="0" xfId="15" applyNumberFormat="1" applyFont="1" applyFill="1" applyAlignment="1">
      <alignment horizontal="center"/>
    </xf>
    <xf numFmtId="168" fontId="1" fillId="0" borderId="0" xfId="6" applyNumberFormat="1" applyFont="1" applyFill="1" applyBorder="1" applyAlignment="1">
      <alignment horizontal="right"/>
    </xf>
    <xf numFmtId="0" fontId="32" fillId="0" borderId="0" xfId="6" applyFont="1" applyFill="1" applyBorder="1" applyAlignment="1">
      <alignment horizontal="center"/>
    </xf>
    <xf numFmtId="0" fontId="31" fillId="0" borderId="1" xfId="6" applyFont="1" applyFill="1" applyBorder="1" applyAlignment="1">
      <alignment horizontal="center"/>
    </xf>
    <xf numFmtId="0" fontId="0" fillId="0" borderId="1" xfId="0" applyFill="1" applyBorder="1" applyAlignment="1"/>
    <xf numFmtId="0" fontId="1" fillId="5" borderId="1" xfId="6" applyFont="1" applyFill="1" applyBorder="1" applyAlignment="1">
      <alignment horizontal="center"/>
    </xf>
    <xf numFmtId="49" fontId="0" fillId="0" borderId="0" xfId="6" applyNumberFormat="1" applyFont="1" applyBorder="1" applyAlignment="1">
      <alignment horizontal="center"/>
    </xf>
    <xf numFmtId="0" fontId="0" fillId="0" borderId="0" xfId="0" applyAlignment="1"/>
    <xf numFmtId="0" fontId="0" fillId="0" borderId="0" xfId="1" applyFont="1"/>
    <xf numFmtId="0" fontId="0" fillId="2" borderId="0" xfId="0" applyFill="1" applyAlignment="1"/>
    <xf numFmtId="0" fontId="1" fillId="0" borderId="0" xfId="6" applyFont="1" applyFill="1" applyAlignment="1"/>
    <xf numFmtId="0" fontId="39" fillId="0" borderId="0" xfId="7" applyFont="1" applyAlignment="1"/>
    <xf numFmtId="168" fontId="4" fillId="20" borderId="0" xfId="0" applyNumberFormat="1" applyFont="1" applyFill="1" applyAlignment="1">
      <alignment horizontal="center"/>
    </xf>
    <xf numFmtId="169" fontId="32" fillId="0" borderId="0" xfId="6" applyNumberFormat="1" applyFont="1" applyFill="1" applyBorder="1" applyAlignment="1">
      <alignment horizontal="right" wrapText="1"/>
    </xf>
    <xf numFmtId="0" fontId="1" fillId="0" borderId="1" xfId="6" applyFont="1" applyBorder="1" applyAlignment="1">
      <alignment horizontal="center"/>
    </xf>
    <xf numFmtId="0" fontId="4" fillId="0" borderId="0" xfId="6" applyFont="1" applyBorder="1" applyAlignment="1"/>
    <xf numFmtId="0" fontId="50" fillId="0" borderId="0" xfId="7" applyFont="1" applyFill="1" applyAlignment="1"/>
    <xf numFmtId="0" fontId="1" fillId="0" borderId="0" xfId="6" applyFont="1" applyBorder="1" applyAlignment="1"/>
    <xf numFmtId="16" fontId="1" fillId="0" borderId="0" xfId="6" applyNumberFormat="1" applyFont="1" applyBorder="1" applyAlignment="1"/>
    <xf numFmtId="0" fontId="1" fillId="0" borderId="0" xfId="6" applyFont="1" applyFill="1" applyBorder="1" applyAlignment="1"/>
    <xf numFmtId="0" fontId="1" fillId="0" borderId="0" xfId="6" applyFont="1" applyAlignment="1"/>
    <xf numFmtId="49" fontId="1" fillId="0" borderId="0" xfId="6" applyNumberFormat="1" applyFont="1" applyFill="1" applyBorder="1" applyAlignment="1"/>
    <xf numFmtId="0" fontId="1" fillId="0" borderId="0" xfId="6" applyFont="1" applyBorder="1" applyAlignment="1">
      <alignment horizontal="right"/>
    </xf>
    <xf numFmtId="49" fontId="1" fillId="0" borderId="0" xfId="6" applyNumberFormat="1" applyFont="1" applyBorder="1" applyAlignment="1">
      <alignment horizontal="center"/>
    </xf>
    <xf numFmtId="49" fontId="1" fillId="0" borderId="0" xfId="6" applyNumberFormat="1" applyFont="1" applyBorder="1" applyAlignment="1"/>
    <xf numFmtId="0" fontId="0" fillId="0" borderId="0" xfId="6" applyFont="1" applyBorder="1" applyAlignment="1"/>
    <xf numFmtId="0" fontId="0" fillId="0" borderId="0" xfId="0" applyBorder="1"/>
    <xf numFmtId="0" fontId="0" fillId="0" borderId="66" xfId="0" applyBorder="1"/>
    <xf numFmtId="0" fontId="4" fillId="0" borderId="0" xfId="16" applyFont="1" applyFill="1" applyAlignment="1">
      <alignment horizontal="center"/>
    </xf>
    <xf numFmtId="0" fontId="4" fillId="0" borderId="0" xfId="17" applyNumberFormat="1" applyFont="1" applyFill="1" applyAlignment="1">
      <alignment horizontal="center"/>
    </xf>
    <xf numFmtId="0" fontId="4" fillId="0" borderId="0" xfId="17" quotePrefix="1" applyFont="1" applyFill="1" applyAlignment="1">
      <alignment horizontal="center"/>
    </xf>
    <xf numFmtId="49" fontId="4" fillId="0" borderId="0" xfId="0" applyNumberFormat="1" applyFont="1" applyAlignment="1">
      <alignment horizontal="center"/>
    </xf>
    <xf numFmtId="0" fontId="39" fillId="0" borderId="0" xfId="17" applyFont="1" applyAlignment="1">
      <alignment horizontal="center"/>
    </xf>
    <xf numFmtId="0" fontId="39" fillId="0" borderId="0" xfId="17" applyNumberFormat="1" applyFont="1" applyAlignment="1">
      <alignment horizontal="center"/>
    </xf>
    <xf numFmtId="0" fontId="39" fillId="0" borderId="0" xfId="17" applyFont="1" applyFill="1" applyAlignment="1">
      <alignment horizontal="center"/>
    </xf>
    <xf numFmtId="0" fontId="1" fillId="21" borderId="1" xfId="6" applyFont="1" applyFill="1" applyBorder="1" applyAlignment="1">
      <alignment horizontal="center"/>
    </xf>
    <xf numFmtId="0" fontId="31" fillId="5" borderId="1" xfId="6" applyFont="1" applyFill="1" applyBorder="1" applyAlignment="1">
      <alignment horizontal="center"/>
    </xf>
    <xf numFmtId="0" fontId="50" fillId="0" borderId="0" xfId="6" applyFont="1" applyFill="1" applyAlignment="1"/>
    <xf numFmtId="0" fontId="4" fillId="0" borderId="0" xfId="6" applyFont="1" applyAlignment="1"/>
    <xf numFmtId="0" fontId="1" fillId="0" borderId="0" xfId="15" applyFont="1" applyAlignment="1"/>
    <xf numFmtId="49" fontId="1" fillId="0" borderId="0" xfId="6" applyNumberFormat="1" applyFont="1" applyFill="1" applyAlignment="1"/>
    <xf numFmtId="0" fontId="0" fillId="0" borderId="1" xfId="6" applyFont="1" applyBorder="1" applyAlignment="1"/>
    <xf numFmtId="49" fontId="0" fillId="0" borderId="0" xfId="6" applyNumberFormat="1" applyFont="1" applyFill="1" applyBorder="1" applyAlignment="1"/>
    <xf numFmtId="0" fontId="31" fillId="0" borderId="0" xfId="6" applyFont="1" applyFill="1" applyBorder="1" applyAlignment="1"/>
    <xf numFmtId="0" fontId="1" fillId="0" borderId="0" xfId="7" applyFont="1" applyFill="1" applyAlignment="1">
      <alignment vertical="center"/>
    </xf>
    <xf numFmtId="0" fontId="1" fillId="7" borderId="1" xfId="0" applyNumberFormat="1" applyFont="1" applyFill="1" applyBorder="1" applyAlignment="1"/>
    <xf numFmtId="165" fontId="1" fillId="7" borderId="1" xfId="1" applyNumberFormat="1" applyFont="1" applyFill="1" applyBorder="1" applyAlignment="1">
      <alignment horizontal="center"/>
    </xf>
    <xf numFmtId="166" fontId="1" fillId="7" borderId="1" xfId="1" applyNumberFormat="1" applyFont="1" applyFill="1" applyBorder="1" applyAlignment="1">
      <alignment horizontal="center"/>
    </xf>
    <xf numFmtId="0" fontId="1" fillId="8" borderId="1" xfId="0" applyNumberFormat="1" applyFont="1" applyFill="1" applyBorder="1" applyAlignment="1"/>
    <xf numFmtId="165" fontId="1" fillId="8" borderId="1" xfId="0" applyNumberFormat="1" applyFont="1" applyFill="1" applyBorder="1" applyAlignment="1">
      <alignment horizontal="center"/>
    </xf>
    <xf numFmtId="166" fontId="1" fillId="8" borderId="1" xfId="1" applyNumberFormat="1" applyFont="1" applyFill="1" applyBorder="1" applyAlignment="1">
      <alignment horizontal="center"/>
    </xf>
    <xf numFmtId="0" fontId="4" fillId="0" borderId="1" xfId="0" applyNumberFormat="1" applyFont="1" applyFill="1" applyBorder="1" applyAlignment="1"/>
    <xf numFmtId="165" fontId="4" fillId="0" borderId="1" xfId="1" applyNumberFormat="1" applyFont="1" applyFill="1" applyBorder="1" applyAlignment="1">
      <alignment horizontal="center"/>
    </xf>
    <xf numFmtId="166" fontId="4" fillId="0" borderId="1" xfId="1" applyNumberFormat="1" applyFont="1" applyFill="1" applyBorder="1" applyAlignment="1">
      <alignment horizontal="center"/>
    </xf>
    <xf numFmtId="0" fontId="1" fillId="4" borderId="1" xfId="1" applyNumberFormat="1" applyFont="1" applyFill="1" applyBorder="1" applyAlignment="1"/>
    <xf numFmtId="165" fontId="1" fillId="4" borderId="1" xfId="1" applyNumberFormat="1" applyFont="1" applyFill="1" applyBorder="1" applyAlignment="1">
      <alignment horizontal="center"/>
    </xf>
    <xf numFmtId="166" fontId="1" fillId="4" borderId="1" xfId="1" applyNumberFormat="1" applyFont="1" applyFill="1" applyBorder="1" applyAlignment="1">
      <alignment horizontal="center"/>
    </xf>
    <xf numFmtId="0" fontId="4" fillId="0" borderId="1" xfId="0" applyNumberFormat="1" applyFont="1" applyBorder="1" applyAlignment="1"/>
    <xf numFmtId="0" fontId="1" fillId="7" borderId="1" xfId="1" applyNumberFormat="1" applyFont="1" applyFill="1" applyBorder="1" applyAlignment="1"/>
    <xf numFmtId="49" fontId="1" fillId="7" borderId="1" xfId="1" applyNumberFormat="1" applyFont="1" applyFill="1" applyBorder="1" applyAlignment="1"/>
    <xf numFmtId="0" fontId="7" fillId="7" borderId="1" xfId="2" applyNumberFormat="1" applyFont="1" applyFill="1" applyBorder="1" applyAlignment="1"/>
    <xf numFmtId="49" fontId="1" fillId="8" borderId="1" xfId="0" applyNumberFormat="1" applyFont="1" applyFill="1" applyBorder="1" applyAlignment="1"/>
    <xf numFmtId="0" fontId="4" fillId="0" borderId="1" xfId="1" applyNumberFormat="1" applyFont="1" applyBorder="1" applyAlignment="1"/>
    <xf numFmtId="49" fontId="4" fillId="0" borderId="1" xfId="1" applyNumberFormat="1" applyFont="1" applyFill="1" applyBorder="1" applyAlignment="1"/>
    <xf numFmtId="0" fontId="4" fillId="0" borderId="1" xfId="1" applyNumberFormat="1" applyFont="1" applyFill="1" applyBorder="1" applyAlignment="1"/>
    <xf numFmtId="49" fontId="1" fillId="4" borderId="1" xfId="0" applyNumberFormat="1" applyFont="1" applyFill="1" applyBorder="1" applyAlignment="1"/>
    <xf numFmtId="0" fontId="1" fillId="4" borderId="1" xfId="0" applyNumberFormat="1" applyFont="1" applyFill="1" applyBorder="1" applyAlignment="1"/>
    <xf numFmtId="49" fontId="4" fillId="0" borderId="1" xfId="1" applyNumberFormat="1" applyFont="1" applyBorder="1" applyAlignment="1"/>
    <xf numFmtId="14" fontId="4" fillId="0" borderId="1" xfId="1" applyNumberFormat="1" applyFont="1" applyFill="1" applyBorder="1" applyAlignment="1"/>
    <xf numFmtId="0" fontId="1" fillId="0" borderId="1" xfId="1" applyNumberFormat="1" applyFont="1" applyFill="1" applyBorder="1" applyAlignment="1"/>
    <xf numFmtId="0" fontId="7" fillId="7" borderId="1" xfId="2" applyFont="1" applyFill="1" applyBorder="1" applyAlignment="1"/>
    <xf numFmtId="0" fontId="7" fillId="8" borderId="1" xfId="2" applyFont="1" applyFill="1" applyBorder="1" applyAlignment="1"/>
    <xf numFmtId="0" fontId="15" fillId="0" borderId="1" xfId="2" applyFont="1" applyFill="1" applyBorder="1" applyAlignment="1"/>
    <xf numFmtId="0" fontId="4" fillId="0" borderId="1" xfId="1" applyNumberFormat="1" applyFont="1" applyFill="1" applyBorder="1" applyAlignment="1">
      <alignment vertical="center"/>
    </xf>
    <xf numFmtId="16" fontId="1" fillId="3" borderId="1" xfId="1" applyNumberFormat="1" applyFont="1" applyFill="1" applyBorder="1" applyAlignment="1"/>
    <xf numFmtId="49" fontId="1" fillId="3" borderId="1" xfId="0" applyNumberFormat="1" applyFont="1" applyFill="1" applyBorder="1" applyAlignment="1"/>
    <xf numFmtId="0" fontId="1" fillId="3" borderId="1" xfId="0" applyNumberFormat="1" applyFont="1" applyFill="1" applyBorder="1" applyAlignment="1"/>
    <xf numFmtId="0" fontId="9" fillId="3" borderId="1" xfId="2" applyNumberFormat="1" applyFont="1" applyFill="1" applyBorder="1" applyAlignment="1"/>
    <xf numFmtId="0" fontId="7" fillId="3" borderId="1" xfId="2" applyFont="1" applyFill="1" applyBorder="1" applyAlignment="1"/>
    <xf numFmtId="165" fontId="1" fillId="3" borderId="1" xfId="1" applyNumberFormat="1" applyFont="1" applyFill="1" applyBorder="1" applyAlignment="1">
      <alignment horizontal="center"/>
    </xf>
    <xf numFmtId="166" fontId="1" fillId="3" borderId="1" xfId="1" applyNumberFormat="1" applyFont="1" applyFill="1" applyBorder="1" applyAlignment="1">
      <alignment horizontal="center"/>
    </xf>
    <xf numFmtId="49" fontId="1" fillId="6" borderId="1" xfId="0" applyNumberFormat="1" applyFont="1" applyFill="1" applyBorder="1" applyAlignment="1"/>
    <xf numFmtId="0" fontId="1" fillId="6" borderId="1" xfId="0" applyNumberFormat="1" applyFont="1" applyFill="1" applyBorder="1" applyAlignment="1"/>
    <xf numFmtId="166" fontId="6" fillId="6" borderId="1" xfId="2" applyNumberFormat="1" applyFill="1" applyBorder="1" applyAlignment="1">
      <alignment horizontal="right"/>
    </xf>
    <xf numFmtId="0" fontId="7" fillId="6" borderId="1" xfId="2" applyFont="1" applyFill="1" applyBorder="1" applyAlignment="1"/>
    <xf numFmtId="165" fontId="1" fillId="6" borderId="1" xfId="1" applyNumberFormat="1" applyFont="1" applyFill="1" applyBorder="1" applyAlignment="1">
      <alignment horizontal="center"/>
    </xf>
    <xf numFmtId="166" fontId="1" fillId="6" borderId="1" xfId="2" applyNumberFormat="1" applyFont="1" applyFill="1" applyBorder="1" applyAlignment="1">
      <alignment horizontal="center"/>
    </xf>
    <xf numFmtId="0" fontId="1" fillId="4" borderId="17" xfId="0" applyFont="1" applyFill="1" applyBorder="1" applyAlignment="1"/>
    <xf numFmtId="0" fontId="7" fillId="4" borderId="24" xfId="4" applyFont="1" applyFill="1" applyBorder="1" applyAlignment="1"/>
    <xf numFmtId="0" fontId="7" fillId="4" borderId="9" xfId="2" applyFont="1" applyFill="1" applyBorder="1" applyAlignment="1"/>
    <xf numFmtId="0" fontId="1" fillId="4" borderId="12" xfId="0" applyFont="1" applyFill="1" applyBorder="1" applyAlignment="1"/>
    <xf numFmtId="0" fontId="1" fillId="4" borderId="12" xfId="0" applyNumberFormat="1" applyFont="1" applyFill="1" applyBorder="1" applyAlignment="1"/>
    <xf numFmtId="0" fontId="15" fillId="13" borderId="12" xfId="2" applyFont="1" applyFill="1" applyBorder="1" applyAlignment="1"/>
    <xf numFmtId="0" fontId="4" fillId="13" borderId="12" xfId="0" applyFont="1" applyFill="1" applyBorder="1" applyAlignment="1"/>
    <xf numFmtId="0" fontId="15" fillId="13" borderId="9" xfId="2" applyFont="1" applyFill="1" applyBorder="1" applyAlignment="1"/>
    <xf numFmtId="0" fontId="15" fillId="13" borderId="22" xfId="2" applyFont="1" applyFill="1" applyBorder="1" applyAlignment="1"/>
    <xf numFmtId="0" fontId="4" fillId="0" borderId="12" xfId="1" applyFont="1" applyFill="1" applyBorder="1" applyAlignment="1"/>
    <xf numFmtId="0" fontId="4" fillId="0" borderId="17" xfId="1" applyFont="1" applyFill="1" applyBorder="1" applyAlignment="1"/>
    <xf numFmtId="0" fontId="15" fillId="0" borderId="22" xfId="2" applyFont="1" applyBorder="1" applyAlignment="1"/>
    <xf numFmtId="0" fontId="4" fillId="0" borderId="17" xfId="0" applyFont="1" applyFill="1" applyBorder="1" applyAlignment="1"/>
    <xf numFmtId="0" fontId="1" fillId="8" borderId="44" xfId="1" applyFont="1" applyFill="1" applyBorder="1" applyAlignment="1"/>
    <xf numFmtId="0" fontId="4" fillId="0" borderId="0" xfId="0" applyFont="1" applyFill="1" applyBorder="1" applyAlignment="1"/>
    <xf numFmtId="0" fontId="4" fillId="0" borderId="108" xfId="2" applyFont="1" applyFill="1" applyBorder="1" applyAlignment="1"/>
    <xf numFmtId="0" fontId="15" fillId="0" borderId="0" xfId="2" applyFont="1" applyFill="1" applyBorder="1" applyAlignment="1"/>
    <xf numFmtId="0" fontId="0" fillId="0" borderId="116" xfId="0" applyBorder="1"/>
    <xf numFmtId="0" fontId="1" fillId="0" borderId="0" xfId="2" applyFont="1" applyFill="1" applyBorder="1" applyAlignment="1"/>
    <xf numFmtId="0" fontId="4" fillId="0" borderId="13" xfId="2" applyFont="1" applyFill="1" applyBorder="1" applyAlignment="1"/>
    <xf numFmtId="0" fontId="0" fillId="0" borderId="21" xfId="0" applyBorder="1"/>
    <xf numFmtId="0" fontId="15" fillId="13" borderId="108" xfId="2" applyFont="1" applyFill="1" applyBorder="1" applyAlignment="1"/>
    <xf numFmtId="0" fontId="4" fillId="13" borderId="0" xfId="0" applyFont="1" applyFill="1" applyBorder="1" applyAlignment="1"/>
    <xf numFmtId="0" fontId="15" fillId="13" borderId="0" xfId="2" applyFont="1" applyFill="1" applyBorder="1" applyAlignment="1"/>
    <xf numFmtId="0" fontId="4" fillId="4" borderId="15" xfId="1" applyFont="1" applyFill="1" applyBorder="1" applyAlignment="1"/>
    <xf numFmtId="0" fontId="0" fillId="0" borderId="17" xfId="0" applyBorder="1"/>
    <xf numFmtId="0" fontId="1" fillId="0" borderId="116" xfId="1" applyFont="1" applyFill="1" applyBorder="1" applyAlignment="1"/>
    <xf numFmtId="0" fontId="7" fillId="4" borderId="12" xfId="2" applyFont="1" applyFill="1" applyBorder="1" applyAlignment="1"/>
    <xf numFmtId="0" fontId="15" fillId="13" borderId="34" xfId="2" applyFont="1" applyFill="1" applyBorder="1" applyAlignment="1"/>
    <xf numFmtId="0" fontId="1" fillId="8" borderId="25" xfId="1" applyFont="1" applyFill="1" applyBorder="1" applyAlignment="1"/>
    <xf numFmtId="0" fontId="4" fillId="13" borderId="0" xfId="1" applyFont="1" applyFill="1" applyBorder="1" applyAlignment="1">
      <alignment vertical="top"/>
    </xf>
    <xf numFmtId="0" fontId="0" fillId="0" borderId="24" xfId="0" applyBorder="1"/>
    <xf numFmtId="0" fontId="1" fillId="4" borderId="32" xfId="1" applyFont="1" applyFill="1" applyBorder="1" applyAlignment="1"/>
    <xf numFmtId="0" fontId="0" fillId="0" borderId="0" xfId="1" applyFont="1" applyFill="1" applyBorder="1" applyAlignment="1"/>
    <xf numFmtId="0" fontId="4" fillId="13" borderId="32" xfId="1" applyFont="1" applyFill="1" applyBorder="1" applyAlignment="1"/>
    <xf numFmtId="0" fontId="0" fillId="0" borderId="15" xfId="1" applyFont="1" applyFill="1" applyBorder="1" applyAlignment="1"/>
    <xf numFmtId="0" fontId="4" fillId="0" borderId="66" xfId="1" applyFont="1" applyFill="1" applyBorder="1" applyAlignment="1"/>
    <xf numFmtId="0" fontId="7" fillId="0" borderId="66" xfId="2" applyFont="1" applyFill="1" applyBorder="1" applyAlignment="1">
      <alignment horizontal="right"/>
    </xf>
    <xf numFmtId="0" fontId="1" fillId="0" borderId="116" xfId="0" applyFont="1" applyBorder="1"/>
    <xf numFmtId="0" fontId="7" fillId="0" borderId="0" xfId="2" applyFont="1" applyFill="1" applyBorder="1" applyAlignment="1"/>
    <xf numFmtId="0" fontId="15" fillId="0" borderId="9" xfId="2" applyFont="1" applyFill="1" applyBorder="1" applyAlignment="1"/>
    <xf numFmtId="0" fontId="15" fillId="0" borderId="17" xfId="2" applyFont="1" applyBorder="1" applyAlignment="1"/>
    <xf numFmtId="0" fontId="1" fillId="0" borderId="0" xfId="6" applyFont="1" applyFill="1" applyBorder="1" applyAlignment="1">
      <alignment vertical="top"/>
    </xf>
    <xf numFmtId="0" fontId="7" fillId="0" borderId="40" xfId="2" applyFont="1" applyBorder="1" applyAlignment="1"/>
    <xf numFmtId="0" fontId="0" fillId="0" borderId="13" xfId="0" applyBorder="1"/>
    <xf numFmtId="0" fontId="7" fillId="0" borderId="22" xfId="2" applyFont="1" applyFill="1" applyBorder="1" applyAlignment="1"/>
    <xf numFmtId="0" fontId="4" fillId="14" borderId="23" xfId="1" quotePrefix="1" applyNumberFormat="1" applyFont="1" applyFill="1" applyBorder="1" applyAlignment="1"/>
    <xf numFmtId="0" fontId="4" fillId="14" borderId="23" xfId="1" applyFont="1" applyFill="1" applyBorder="1" applyAlignment="1"/>
    <xf numFmtId="0" fontId="1" fillId="14" borderId="23" xfId="1" applyFont="1" applyFill="1" applyBorder="1" applyAlignment="1"/>
    <xf numFmtId="0" fontId="0" fillId="0" borderId="34" xfId="0" applyBorder="1"/>
    <xf numFmtId="0" fontId="0" fillId="0" borderId="22" xfId="0" applyBorder="1"/>
    <xf numFmtId="0" fontId="0" fillId="0" borderId="23" xfId="0" applyBorder="1"/>
    <xf numFmtId="0" fontId="15" fillId="0" borderId="12" xfId="2" applyFont="1" applyFill="1" applyBorder="1" applyAlignment="1"/>
    <xf numFmtId="0" fontId="7" fillId="0" borderId="17" xfId="2" applyFont="1" applyFill="1" applyBorder="1" applyAlignment="1"/>
    <xf numFmtId="0" fontId="15" fillId="0" borderId="34" xfId="2" applyFont="1" applyFill="1" applyBorder="1" applyAlignment="1"/>
    <xf numFmtId="0" fontId="15" fillId="0" borderId="23" xfId="2" applyFont="1" applyBorder="1" applyAlignment="1"/>
    <xf numFmtId="0" fontId="15" fillId="13" borderId="23" xfId="2" applyFont="1" applyFill="1" applyBorder="1" applyAlignment="1"/>
    <xf numFmtId="0" fontId="6" fillId="13" borderId="0" xfId="2" applyFill="1" applyBorder="1" applyAlignment="1"/>
    <xf numFmtId="0" fontId="4" fillId="13" borderId="23" xfId="1" applyFont="1" applyFill="1" applyBorder="1" applyAlignment="1"/>
    <xf numFmtId="0" fontId="0" fillId="0" borderId="34" xfId="1" applyFont="1" applyFill="1" applyBorder="1" applyAlignment="1"/>
    <xf numFmtId="0" fontId="15" fillId="4" borderId="22" xfId="2" applyFont="1" applyFill="1" applyBorder="1" applyAlignment="1"/>
    <xf numFmtId="0" fontId="7" fillId="4" borderId="22" xfId="4" applyNumberFormat="1" applyFont="1" applyFill="1" applyBorder="1" applyAlignment="1"/>
    <xf numFmtId="0" fontId="7" fillId="0" borderId="34" xfId="2" applyFont="1" applyFill="1" applyBorder="1" applyAlignment="1"/>
    <xf numFmtId="0" fontId="7" fillId="0" borderId="34" xfId="2" applyFont="1" applyFill="1" applyBorder="1" applyAlignment="1">
      <alignment vertical="top"/>
    </xf>
    <xf numFmtId="0" fontId="20" fillId="0" borderId="0" xfId="2" applyFont="1" applyFill="1" applyBorder="1" applyAlignment="1"/>
    <xf numFmtId="0" fontId="1" fillId="4" borderId="19" xfId="1" applyFont="1" applyFill="1" applyBorder="1" applyAlignment="1"/>
    <xf numFmtId="0" fontId="1" fillId="8" borderId="12" xfId="1" applyFont="1" applyFill="1" applyBorder="1" applyAlignment="1"/>
    <xf numFmtId="0" fontId="1" fillId="0" borderId="108" xfId="1" applyFont="1" applyFill="1" applyBorder="1" applyAlignment="1"/>
    <xf numFmtId="0" fontId="1" fillId="4" borderId="0" xfId="0" applyFont="1" applyFill="1" applyBorder="1" applyAlignment="1"/>
    <xf numFmtId="0" fontId="7" fillId="4" borderId="66" xfId="4" applyFont="1" applyFill="1" applyBorder="1" applyAlignment="1"/>
    <xf numFmtId="0" fontId="7" fillId="0" borderId="45" xfId="2" applyFont="1" applyBorder="1" applyAlignment="1"/>
    <xf numFmtId="0" fontId="15" fillId="13" borderId="29" xfId="2" applyFont="1" applyFill="1" applyBorder="1" applyAlignment="1"/>
    <xf numFmtId="0" fontId="1" fillId="0" borderId="17" xfId="0" applyFont="1" applyFill="1" applyBorder="1" applyAlignment="1"/>
    <xf numFmtId="0" fontId="15" fillId="0" borderId="13" xfId="2" applyFont="1" applyBorder="1" applyAlignment="1"/>
    <xf numFmtId="0" fontId="4" fillId="0" borderId="17" xfId="6" applyFont="1" applyFill="1" applyBorder="1" applyAlignment="1"/>
    <xf numFmtId="0" fontId="4" fillId="13" borderId="17" xfId="2" applyFont="1" applyFill="1" applyBorder="1" applyAlignment="1"/>
    <xf numFmtId="0" fontId="0" fillId="0" borderId="12" xfId="0" applyFont="1" applyFill="1" applyBorder="1" applyAlignment="1"/>
    <xf numFmtId="0" fontId="0" fillId="4" borderId="1" xfId="1" applyNumberFormat="1" applyFont="1" applyFill="1" applyBorder="1" applyAlignment="1"/>
    <xf numFmtId="0" fontId="0" fillId="4" borderId="1" xfId="0" applyNumberFormat="1" applyFont="1" applyFill="1" applyBorder="1" applyAlignment="1"/>
    <xf numFmtId="0" fontId="0" fillId="7" borderId="1" xfId="1" applyNumberFormat="1" applyFont="1" applyFill="1" applyBorder="1" applyAlignment="1"/>
    <xf numFmtId="0" fontId="0" fillId="0" borderId="1" xfId="1" applyNumberFormat="1" applyFont="1" applyFill="1" applyBorder="1" applyAlignment="1"/>
    <xf numFmtId="165" fontId="1" fillId="0" borderId="1" xfId="1" applyNumberFormat="1" applyFont="1" applyFill="1" applyBorder="1" applyAlignment="1">
      <alignment horizontal="center"/>
    </xf>
    <xf numFmtId="166" fontId="1" fillId="0" borderId="1" xfId="1" applyNumberFormat="1" applyFont="1" applyFill="1" applyBorder="1" applyAlignment="1">
      <alignment horizontal="center"/>
    </xf>
    <xf numFmtId="0" fontId="0" fillId="0" borderId="0" xfId="0" applyFill="1"/>
    <xf numFmtId="0" fontId="6" fillId="7" borderId="1" xfId="2" applyNumberFormat="1" applyFont="1" applyFill="1" applyBorder="1" applyAlignment="1"/>
    <xf numFmtId="0" fontId="0" fillId="7" borderId="1" xfId="0" applyNumberFormat="1" applyFont="1" applyFill="1" applyBorder="1" applyAlignment="1"/>
    <xf numFmtId="0" fontId="0" fillId="6" borderId="1" xfId="1" applyNumberFormat="1" applyFont="1" applyFill="1" applyBorder="1" applyAlignment="1"/>
    <xf numFmtId="0" fontId="0" fillId="6" borderId="1" xfId="0" applyNumberFormat="1" applyFont="1" applyFill="1" applyBorder="1" applyAlignment="1"/>
    <xf numFmtId="0" fontId="0" fillId="8" borderId="1" xfId="0" applyNumberFormat="1" applyFont="1" applyFill="1" applyBorder="1" applyAlignment="1"/>
    <xf numFmtId="0" fontId="0" fillId="8" borderId="1" xfId="0" applyNumberFormat="1" applyFont="1" applyFill="1" applyBorder="1" applyAlignment="1">
      <alignment vertical="center"/>
    </xf>
    <xf numFmtId="49" fontId="4" fillId="0" borderId="1" xfId="0" applyNumberFormat="1" applyFont="1" applyFill="1" applyBorder="1" applyAlignment="1"/>
    <xf numFmtId="0" fontId="0" fillId="6" borderId="1" xfId="2" applyNumberFormat="1" applyFont="1" applyFill="1" applyBorder="1" applyAlignment="1"/>
    <xf numFmtId="0" fontId="1" fillId="6" borderId="1" xfId="2" applyFont="1" applyFill="1" applyBorder="1" applyAlignment="1"/>
    <xf numFmtId="0" fontId="7" fillId="0" borderId="0" xfId="2" applyFont="1" applyFill="1" applyBorder="1" applyAlignment="1">
      <alignment vertical="top"/>
    </xf>
    <xf numFmtId="0" fontId="19" fillId="0" borderId="0" xfId="1" applyFont="1" applyFill="1" applyBorder="1" applyAlignment="1"/>
    <xf numFmtId="0" fontId="7" fillId="8" borderId="12" xfId="4" applyFont="1" applyFill="1" applyBorder="1" applyAlignment="1"/>
    <xf numFmtId="0" fontId="7" fillId="8" borderId="23" xfId="4" applyFont="1" applyFill="1" applyBorder="1" applyAlignment="1"/>
    <xf numFmtId="0" fontId="4" fillId="13" borderId="12" xfId="0" applyFont="1" applyFill="1" applyBorder="1"/>
    <xf numFmtId="49" fontId="1" fillId="0" borderId="1" xfId="1" applyNumberFormat="1" applyFont="1" applyFill="1" applyBorder="1" applyAlignment="1"/>
    <xf numFmtId="0" fontId="1" fillId="0" borderId="1" xfId="1" applyNumberFormat="1" applyFont="1" applyBorder="1" applyAlignment="1"/>
    <xf numFmtId="0" fontId="12" fillId="0" borderId="1" xfId="2" applyFont="1" applyFill="1" applyBorder="1" applyAlignment="1"/>
    <xf numFmtId="165" fontId="1" fillId="0" borderId="1" xfId="1" applyNumberFormat="1" applyFont="1" applyBorder="1" applyAlignment="1">
      <alignment horizontal="center"/>
    </xf>
    <xf numFmtId="166" fontId="1" fillId="0" borderId="1" xfId="1" applyNumberFormat="1" applyFont="1" applyBorder="1" applyAlignment="1">
      <alignment horizontal="center"/>
    </xf>
    <xf numFmtId="0" fontId="0" fillId="0" borderId="1" xfId="0" applyFont="1" applyBorder="1"/>
    <xf numFmtId="0" fontId="0" fillId="0" borderId="12" xfId="1" applyFont="1" applyFill="1" applyBorder="1" applyAlignment="1"/>
    <xf numFmtId="0" fontId="0" fillId="0" borderId="15" xfId="0" applyBorder="1"/>
    <xf numFmtId="0" fontId="7" fillId="0" borderId="39" xfId="2" applyFont="1" applyBorder="1" applyAlignment="1"/>
    <xf numFmtId="0" fontId="56" fillId="0" borderId="23" xfId="2" applyFont="1" applyBorder="1" applyAlignment="1"/>
    <xf numFmtId="0" fontId="7" fillId="0" borderId="12" xfId="2" applyFont="1" applyBorder="1"/>
    <xf numFmtId="14" fontId="0" fillId="0" borderId="0" xfId="0" applyNumberFormat="1"/>
    <xf numFmtId="0" fontId="19" fillId="0" borderId="17" xfId="1" applyFont="1" applyBorder="1" applyAlignment="1">
      <alignment vertical="top"/>
    </xf>
    <xf numFmtId="0" fontId="7" fillId="0" borderId="116" xfId="2" applyFont="1" applyBorder="1" applyAlignment="1"/>
    <xf numFmtId="0" fontId="20" fillId="0" borderId="13" xfId="2" applyFont="1" applyBorder="1" applyAlignment="1">
      <alignment vertical="top"/>
    </xf>
    <xf numFmtId="0" fontId="0" fillId="24" borderId="0" xfId="0" applyFill="1"/>
    <xf numFmtId="0" fontId="0" fillId="8" borderId="0" xfId="0" applyFill="1"/>
    <xf numFmtId="0" fontId="55" fillId="0" borderId="9" xfId="2" applyFont="1" applyFill="1" applyBorder="1" applyAlignment="1"/>
    <xf numFmtId="0" fontId="7" fillId="0" borderId="23" xfId="4" applyFont="1" applyFill="1" applyBorder="1" applyAlignment="1"/>
    <xf numFmtId="0" fontId="0" fillId="0" borderId="22" xfId="1" applyFont="1" applyFill="1" applyBorder="1" applyAlignment="1"/>
    <xf numFmtId="0" fontId="1" fillId="0" borderId="36" xfId="1" applyFont="1" applyFill="1" applyBorder="1" applyAlignment="1"/>
    <xf numFmtId="0" fontId="0" fillId="20" borderId="0" xfId="0" applyFill="1"/>
    <xf numFmtId="0" fontId="20" fillId="0" borderId="28" xfId="2" applyFont="1" applyFill="1" applyBorder="1" applyAlignment="1"/>
    <xf numFmtId="0" fontId="15" fillId="22" borderId="17" xfId="2" applyFont="1" applyFill="1" applyBorder="1" applyAlignment="1"/>
    <xf numFmtId="0" fontId="57" fillId="0" borderId="22" xfId="2" applyFont="1" applyBorder="1" applyAlignment="1"/>
    <xf numFmtId="0" fontId="20" fillId="0" borderId="34" xfId="2" applyFont="1" applyFill="1" applyBorder="1" applyAlignment="1"/>
    <xf numFmtId="0" fontId="19" fillId="0" borderId="0" xfId="6" applyFont="1" applyFill="1" applyBorder="1" applyAlignment="1">
      <alignment vertical="top"/>
    </xf>
    <xf numFmtId="0" fontId="19" fillId="0" borderId="12" xfId="6" applyFont="1" applyFill="1" applyBorder="1" applyAlignment="1">
      <alignment vertical="top"/>
    </xf>
    <xf numFmtId="0" fontId="1" fillId="0" borderId="12" xfId="7" applyFont="1" applyFill="1" applyBorder="1" applyAlignment="1"/>
    <xf numFmtId="0" fontId="57" fillId="0" borderId="12" xfId="2" applyFont="1" applyBorder="1" applyAlignment="1"/>
    <xf numFmtId="0" fontId="4" fillId="2" borderId="19" xfId="1" applyFont="1" applyFill="1" applyBorder="1" applyAlignment="1"/>
    <xf numFmtId="0" fontId="0" fillId="0" borderId="51" xfId="0" applyBorder="1"/>
    <xf numFmtId="0" fontId="0" fillId="0" borderId="52" xfId="0" applyBorder="1"/>
    <xf numFmtId="0" fontId="1" fillId="0" borderId="51" xfId="1" applyFont="1" applyFill="1" applyBorder="1" applyAlignment="1"/>
    <xf numFmtId="0" fontId="1" fillId="0" borderId="120" xfId="1" applyFont="1" applyFill="1" applyBorder="1" applyAlignment="1"/>
    <xf numFmtId="0" fontId="0" fillId="8" borderId="0" xfId="0" applyFill="1" applyBorder="1"/>
    <xf numFmtId="0" fontId="7" fillId="0" borderId="22" xfId="2" applyFont="1" applyBorder="1" applyAlignment="1"/>
    <xf numFmtId="0" fontId="57" fillId="0" borderId="23" xfId="2" applyFont="1" applyBorder="1" applyAlignment="1"/>
    <xf numFmtId="0" fontId="15" fillId="0" borderId="42" xfId="2" applyFont="1" applyBorder="1" applyAlignment="1"/>
    <xf numFmtId="0" fontId="15" fillId="0" borderId="24" xfId="2" applyFont="1" applyBorder="1" applyAlignment="1"/>
    <xf numFmtId="0" fontId="1" fillId="0" borderId="121" xfId="1" applyFont="1" applyFill="1" applyBorder="1" applyAlignment="1"/>
    <xf numFmtId="0" fontId="1" fillId="0" borderId="122" xfId="1" applyFont="1" applyFill="1" applyBorder="1" applyAlignment="1"/>
    <xf numFmtId="0" fontId="1" fillId="0" borderId="123" xfId="1" applyFont="1" applyFill="1" applyBorder="1" applyAlignment="1"/>
    <xf numFmtId="0" fontId="1" fillId="0" borderId="57" xfId="1" applyFont="1" applyFill="1" applyBorder="1" applyAlignment="1">
      <alignment vertical="top"/>
    </xf>
    <xf numFmtId="0" fontId="19" fillId="0" borderId="60" xfId="0" applyFont="1" applyBorder="1" applyAlignment="1">
      <alignment horizontal="center"/>
    </xf>
    <xf numFmtId="0" fontId="4" fillId="0" borderId="54" xfId="1" applyFont="1" applyFill="1" applyBorder="1" applyAlignment="1"/>
    <xf numFmtId="0" fontId="4" fillId="0" borderId="55" xfId="1" applyFont="1" applyFill="1" applyBorder="1" applyAlignment="1"/>
    <xf numFmtId="0" fontId="1" fillId="0" borderId="124" xfId="1" applyFont="1" applyFill="1" applyBorder="1" applyAlignment="1"/>
    <xf numFmtId="0" fontId="20" fillId="0" borderId="116" xfId="2" applyFont="1" applyBorder="1" applyAlignment="1">
      <alignment horizontal="center"/>
    </xf>
    <xf numFmtId="0" fontId="1" fillId="0" borderId="46" xfId="1" applyFont="1" applyFill="1" applyBorder="1" applyAlignment="1"/>
    <xf numFmtId="0" fontId="1" fillId="23" borderId="87" xfId="1" applyFont="1" applyFill="1" applyBorder="1" applyAlignment="1"/>
    <xf numFmtId="0" fontId="1" fillId="23" borderId="86" xfId="1" applyFont="1" applyFill="1" applyBorder="1" applyAlignment="1"/>
    <xf numFmtId="0" fontId="1" fillId="23" borderId="86" xfId="1" applyFont="1" applyFill="1" applyBorder="1" applyAlignment="1">
      <alignment vertical="top"/>
    </xf>
    <xf numFmtId="0" fontId="0" fillId="23" borderId="86" xfId="1" applyFont="1" applyFill="1" applyBorder="1" applyAlignment="1">
      <alignment horizontal="center"/>
    </xf>
    <xf numFmtId="0" fontId="54" fillId="23" borderId="86" xfId="2" applyFont="1" applyFill="1" applyBorder="1" applyAlignment="1"/>
    <xf numFmtId="0" fontId="1" fillId="23" borderId="88" xfId="1" applyFont="1" applyFill="1" applyBorder="1" applyAlignment="1"/>
    <xf numFmtId="0" fontId="15" fillId="13" borderId="119" xfId="2" applyFont="1" applyFill="1" applyBorder="1" applyAlignment="1"/>
    <xf numFmtId="0" fontId="0" fillId="13" borderId="0" xfId="1" applyFont="1" applyFill="1" applyBorder="1" applyAlignment="1"/>
    <xf numFmtId="0" fontId="1" fillId="0" borderId="13" xfId="1" applyFont="1" applyFill="1" applyBorder="1" applyAlignment="1"/>
    <xf numFmtId="0" fontId="0" fillId="0" borderId="40" xfId="0" applyBorder="1"/>
    <xf numFmtId="0" fontId="4" fillId="4" borderId="41" xfId="1" applyFont="1" applyFill="1" applyBorder="1" applyAlignment="1"/>
    <xf numFmtId="0" fontId="0" fillId="4" borderId="0" xfId="0" applyFill="1" applyBorder="1"/>
    <xf numFmtId="0" fontId="0" fillId="4" borderId="66" xfId="0" applyFill="1" applyBorder="1"/>
    <xf numFmtId="0" fontId="0" fillId="0" borderId="45" xfId="0" applyBorder="1"/>
    <xf numFmtId="0" fontId="4" fillId="12" borderId="125" xfId="1" applyFont="1" applyFill="1" applyBorder="1" applyAlignment="1"/>
    <xf numFmtId="0" fontId="0" fillId="13" borderId="41" xfId="1" applyFont="1" applyFill="1" applyBorder="1" applyAlignment="1"/>
    <xf numFmtId="0" fontId="1" fillId="13" borderId="66" xfId="1" applyFont="1" applyFill="1" applyBorder="1" applyAlignment="1"/>
    <xf numFmtId="0" fontId="7" fillId="0" borderId="17" xfId="2" applyFont="1" applyFill="1" applyBorder="1" applyAlignment="1">
      <alignment vertical="top" wrapText="1"/>
    </xf>
    <xf numFmtId="0" fontId="0" fillId="0" borderId="17" xfId="6" applyFont="1" applyFill="1" applyBorder="1" applyAlignment="1">
      <alignment vertical="top"/>
    </xf>
    <xf numFmtId="0" fontId="7" fillId="0" borderId="17" xfId="2" applyFont="1" applyBorder="1" applyAlignment="1"/>
    <xf numFmtId="0" fontId="4" fillId="11" borderId="19" xfId="1" applyFont="1" applyFill="1" applyBorder="1" applyAlignment="1"/>
    <xf numFmtId="0" fontId="1" fillId="11" borderId="25" xfId="1" applyFont="1" applyFill="1" applyBorder="1" applyAlignment="1"/>
    <xf numFmtId="0" fontId="4" fillId="13" borderId="12" xfId="1" applyFont="1" applyFill="1" applyBorder="1" applyAlignment="1"/>
    <xf numFmtId="0" fontId="1" fillId="13" borderId="0" xfId="1" applyFont="1" applyFill="1" applyBorder="1" applyAlignment="1"/>
    <xf numFmtId="0" fontId="1" fillId="13" borderId="40" xfId="1" applyFont="1" applyFill="1" applyBorder="1" applyAlignment="1"/>
    <xf numFmtId="0" fontId="15" fillId="4" borderId="12" xfId="2" applyFont="1" applyFill="1" applyBorder="1" applyAlignment="1"/>
    <xf numFmtId="0" fontId="15" fillId="4" borderId="23" xfId="2" applyFont="1" applyFill="1" applyBorder="1" applyAlignment="1"/>
    <xf numFmtId="0" fontId="7" fillId="8" borderId="0" xfId="4" applyFont="1" applyFill="1" applyBorder="1" applyAlignment="1"/>
    <xf numFmtId="0" fontId="7" fillId="0" borderId="12" xfId="2" applyFont="1" applyFill="1" applyBorder="1" applyAlignment="1">
      <alignment vertical="top"/>
    </xf>
    <xf numFmtId="0" fontId="0" fillId="13" borderId="22" xfId="0" applyFill="1" applyBorder="1"/>
    <xf numFmtId="0" fontId="0" fillId="13" borderId="44" xfId="0" applyFill="1" applyBorder="1"/>
    <xf numFmtId="0" fontId="7" fillId="4" borderId="23" xfId="2" applyFont="1" applyFill="1" applyBorder="1" applyAlignment="1"/>
    <xf numFmtId="0" fontId="4" fillId="0" borderId="126" xfId="1" applyFont="1" applyFill="1" applyBorder="1" applyAlignment="1"/>
    <xf numFmtId="0" fontId="1" fillId="0" borderId="27" xfId="4" applyFont="1" applyFill="1" applyBorder="1" applyAlignment="1"/>
    <xf numFmtId="0" fontId="1" fillId="8" borderId="28" xfId="2" applyFont="1" applyFill="1" applyBorder="1" applyAlignment="1">
      <alignment vertical="top"/>
    </xf>
    <xf numFmtId="0" fontId="1" fillId="8" borderId="36" xfId="1" applyFont="1" applyFill="1" applyBorder="1" applyAlignment="1"/>
    <xf numFmtId="0" fontId="1" fillId="4" borderId="126" xfId="1" applyFont="1" applyFill="1" applyBorder="1" applyAlignment="1"/>
    <xf numFmtId="0" fontId="0" fillId="8" borderId="0" xfId="2" applyFont="1" applyFill="1" applyBorder="1" applyAlignment="1"/>
    <xf numFmtId="0" fontId="0" fillId="4" borderId="12" xfId="0" applyFont="1" applyFill="1" applyBorder="1" applyAlignment="1"/>
    <xf numFmtId="0" fontId="19" fillId="0" borderId="17" xfId="1" applyFont="1" applyFill="1" applyBorder="1" applyAlignment="1"/>
    <xf numFmtId="0" fontId="4" fillId="13" borderId="17" xfId="0" applyFont="1" applyFill="1" applyBorder="1" applyAlignment="1"/>
    <xf numFmtId="0" fontId="15" fillId="13" borderId="116" xfId="2" applyFont="1" applyFill="1" applyBorder="1" applyAlignment="1"/>
    <xf numFmtId="0" fontId="4" fillId="13" borderId="21" xfId="1" applyFont="1" applyFill="1" applyBorder="1" applyAlignment="1"/>
    <xf numFmtId="0" fontId="15" fillId="13" borderId="17" xfId="2" applyFont="1" applyFill="1" applyBorder="1" applyAlignment="1"/>
    <xf numFmtId="0" fontId="7" fillId="4" borderId="59" xfId="2" applyFont="1" applyFill="1" applyBorder="1" applyAlignment="1"/>
    <xf numFmtId="0" fontId="1" fillId="0" borderId="0" xfId="0" applyFont="1" applyFill="1" applyBorder="1" applyAlignment="1"/>
    <xf numFmtId="0" fontId="20" fillId="0" borderId="12" xfId="2" applyFont="1" applyFill="1" applyBorder="1" applyAlignment="1"/>
    <xf numFmtId="0" fontId="0" fillId="0" borderId="12" xfId="0" applyBorder="1"/>
    <xf numFmtId="0" fontId="1" fillId="2" borderId="0" xfId="1" applyFont="1" applyFill="1" applyBorder="1" applyAlignment="1"/>
    <xf numFmtId="0" fontId="7" fillId="2" borderId="45" xfId="2" applyFont="1" applyFill="1" applyBorder="1" applyAlignment="1"/>
    <xf numFmtId="0" fontId="1" fillId="0" borderId="22" xfId="7" applyFont="1" applyFill="1" applyBorder="1" applyAlignment="1"/>
    <xf numFmtId="0" fontId="19" fillId="0" borderId="25" xfId="1" applyFont="1" applyFill="1" applyBorder="1" applyAlignment="1"/>
    <xf numFmtId="0" fontId="57" fillId="0" borderId="27" xfId="2" applyFont="1" applyBorder="1" applyAlignment="1"/>
    <xf numFmtId="0" fontId="7" fillId="2" borderId="28" xfId="2" applyFont="1" applyFill="1" applyBorder="1" applyAlignment="1"/>
    <xf numFmtId="0" fontId="0" fillId="0" borderId="19" xfId="0" applyBorder="1"/>
    <xf numFmtId="0" fontId="0" fillId="2" borderId="36" xfId="0" applyFill="1" applyBorder="1"/>
    <xf numFmtId="0" fontId="4" fillId="2" borderId="25" xfId="1" applyFont="1" applyFill="1" applyBorder="1" applyAlignment="1"/>
    <xf numFmtId="0" fontId="7" fillId="11" borderId="13" xfId="2" applyFont="1" applyFill="1" applyBorder="1" applyAlignment="1"/>
    <xf numFmtId="0" fontId="0" fillId="11" borderId="12" xfId="2" applyFont="1" applyFill="1" applyBorder="1" applyAlignment="1"/>
    <xf numFmtId="0" fontId="7" fillId="11" borderId="27" xfId="4" applyFont="1" applyFill="1" applyBorder="1" applyAlignment="1"/>
    <xf numFmtId="0" fontId="1" fillId="11" borderId="15" xfId="1" applyFont="1" applyFill="1" applyBorder="1" applyAlignment="1"/>
    <xf numFmtId="0" fontId="1" fillId="11" borderId="46" xfId="1" applyFont="1" applyFill="1" applyBorder="1" applyAlignment="1"/>
    <xf numFmtId="0" fontId="7" fillId="5" borderId="34" xfId="2" applyFont="1" applyFill="1" applyBorder="1" applyAlignment="1"/>
    <xf numFmtId="0" fontId="0" fillId="5" borderId="0" xfId="1" applyFont="1" applyFill="1" applyBorder="1" applyAlignment="1">
      <alignment vertical="top"/>
    </xf>
    <xf numFmtId="0" fontId="7" fillId="5" borderId="23" xfId="2" applyFont="1" applyFill="1" applyBorder="1" applyAlignment="1"/>
    <xf numFmtId="0" fontId="7" fillId="5" borderId="9" xfId="2" applyFont="1" applyFill="1" applyBorder="1" applyAlignment="1"/>
    <xf numFmtId="0" fontId="0" fillId="5" borderId="12" xfId="1" applyFont="1" applyFill="1" applyBorder="1" applyAlignment="1">
      <alignment vertical="top"/>
    </xf>
    <xf numFmtId="0" fontId="7" fillId="5" borderId="22" xfId="2" applyFont="1" applyFill="1" applyBorder="1" applyAlignment="1"/>
    <xf numFmtId="0" fontId="1" fillId="5" borderId="19" xfId="1" applyFont="1" applyFill="1" applyBorder="1" applyAlignment="1"/>
    <xf numFmtId="0" fontId="4" fillId="5" borderId="25" xfId="1" applyFont="1" applyFill="1" applyBorder="1" applyAlignment="1"/>
    <xf numFmtId="0" fontId="4" fillId="5" borderId="0" xfId="1" applyFont="1" applyFill="1" applyBorder="1" applyAlignment="1"/>
    <xf numFmtId="0" fontId="4" fillId="5" borderId="23" xfId="1" applyFont="1" applyFill="1" applyBorder="1" applyAlignment="1"/>
    <xf numFmtId="0" fontId="7" fillId="4" borderId="12" xfId="2" applyNumberFormat="1" applyFont="1" applyFill="1" applyBorder="1" applyAlignment="1"/>
    <xf numFmtId="0" fontId="7" fillId="4" borderId="53" xfId="4" applyFont="1" applyFill="1" applyBorder="1" applyAlignment="1"/>
    <xf numFmtId="0" fontId="0" fillId="0" borderId="25" xfId="1" applyFont="1" applyBorder="1" applyAlignment="1">
      <alignment vertical="top"/>
    </xf>
    <xf numFmtId="0" fontId="20" fillId="0" borderId="22" xfId="2" applyFont="1" applyFill="1" applyBorder="1" applyAlignment="1"/>
    <xf numFmtId="0" fontId="6" fillId="13" borderId="23" xfId="2" applyFill="1" applyBorder="1" applyAlignment="1"/>
    <xf numFmtId="0" fontId="53" fillId="0" borderId="127" xfId="2" applyFont="1" applyFill="1" applyBorder="1" applyAlignment="1"/>
    <xf numFmtId="0" fontId="7" fillId="11" borderId="12" xfId="4" applyFont="1" applyFill="1" applyBorder="1" applyAlignment="1"/>
    <xf numFmtId="0" fontId="7" fillId="11" borderId="42" xfId="2" applyFont="1" applyFill="1" applyBorder="1" applyAlignment="1"/>
    <xf numFmtId="0" fontId="21" fillId="0" borderId="23" xfId="1" applyFont="1" applyFill="1" applyBorder="1" applyAlignment="1"/>
    <xf numFmtId="0" fontId="0" fillId="0" borderId="23" xfId="2" applyFont="1" applyFill="1" applyBorder="1" applyAlignment="1"/>
    <xf numFmtId="0" fontId="6" fillId="8" borderId="1" xfId="2" applyFill="1" applyBorder="1" applyAlignment="1"/>
    <xf numFmtId="0" fontId="1" fillId="7" borderId="0" xfId="6" applyFont="1" applyFill="1" applyBorder="1" applyAlignment="1">
      <alignment horizontal="right"/>
    </xf>
    <xf numFmtId="49" fontId="1" fillId="7" borderId="0" xfId="6" applyNumberFormat="1" applyFont="1" applyFill="1" applyBorder="1" applyAlignment="1">
      <alignment horizontal="center"/>
    </xf>
    <xf numFmtId="0" fontId="1" fillId="7" borderId="0" xfId="6" applyFont="1" applyFill="1" applyAlignment="1"/>
    <xf numFmtId="0" fontId="0" fillId="7" borderId="0" xfId="6" applyFont="1" applyFill="1" applyBorder="1" applyAlignment="1"/>
    <xf numFmtId="0" fontId="1" fillId="7" borderId="0" xfId="6" applyFont="1" applyFill="1" applyBorder="1" applyAlignment="1"/>
    <xf numFmtId="49" fontId="0" fillId="7" borderId="0" xfId="6" applyNumberFormat="1" applyFont="1" applyFill="1" applyBorder="1" applyAlignment="1">
      <alignment horizontal="center"/>
    </xf>
    <xf numFmtId="0" fontId="15" fillId="7" borderId="0" xfId="6" applyFont="1" applyFill="1"/>
    <xf numFmtId="0" fontId="4" fillId="7" borderId="0" xfId="0" applyFont="1" applyFill="1" applyAlignment="1">
      <alignment horizontal="right"/>
    </xf>
    <xf numFmtId="0" fontId="0" fillId="7" borderId="109" xfId="6" applyFont="1" applyFill="1" applyBorder="1"/>
    <xf numFmtId="0" fontId="1" fillId="7" borderId="0" xfId="6" applyFont="1" applyFill="1" applyAlignment="1">
      <alignment horizontal="left"/>
    </xf>
    <xf numFmtId="0" fontId="1" fillId="7" borderId="0" xfId="6" applyFont="1" applyFill="1"/>
    <xf numFmtId="0" fontId="1" fillId="7" borderId="3" xfId="6" applyFont="1" applyFill="1" applyBorder="1"/>
    <xf numFmtId="0" fontId="0" fillId="7" borderId="110" xfId="6" applyFont="1" applyFill="1" applyBorder="1"/>
    <xf numFmtId="0" fontId="0" fillId="7" borderId="111" xfId="6" applyFont="1" applyFill="1" applyBorder="1"/>
    <xf numFmtId="0" fontId="1" fillId="7" borderId="67" xfId="6" applyFont="1" applyFill="1" applyBorder="1" applyAlignment="1">
      <alignment horizontal="left"/>
    </xf>
    <xf numFmtId="0" fontId="1" fillId="7" borderId="112" xfId="6" applyFont="1" applyFill="1" applyBorder="1" applyAlignment="1">
      <alignment horizontal="left"/>
    </xf>
    <xf numFmtId="0" fontId="1" fillId="7" borderId="0" xfId="6" applyFont="1" applyFill="1" applyBorder="1" applyAlignment="1">
      <alignment horizontal="left"/>
    </xf>
    <xf numFmtId="0" fontId="1" fillId="7" borderId="113" xfId="6" applyFont="1" applyFill="1" applyBorder="1" applyAlignment="1">
      <alignment horizontal="left"/>
    </xf>
    <xf numFmtId="0" fontId="0" fillId="7" borderId="67" xfId="6" applyFont="1" applyFill="1" applyBorder="1"/>
    <xf numFmtId="0" fontId="0" fillId="7" borderId="0" xfId="6" applyFont="1" applyFill="1" applyBorder="1"/>
    <xf numFmtId="0" fontId="1" fillId="7" borderId="114" xfId="6" applyFont="1" applyFill="1" applyBorder="1"/>
    <xf numFmtId="0" fontId="4" fillId="7" borderId="108" xfId="6" applyFont="1" applyFill="1" applyBorder="1"/>
    <xf numFmtId="0" fontId="0" fillId="7" borderId="108" xfId="0" applyFill="1" applyBorder="1"/>
    <xf numFmtId="0" fontId="1" fillId="7" borderId="111" xfId="6" applyFont="1" applyFill="1" applyBorder="1"/>
    <xf numFmtId="0" fontId="1" fillId="7" borderId="0" xfId="6" applyFont="1" applyFill="1" applyBorder="1"/>
    <xf numFmtId="0" fontId="0" fillId="7" borderId="0" xfId="0" applyFill="1" applyBorder="1"/>
    <xf numFmtId="0" fontId="0" fillId="7" borderId="66" xfId="6" applyFont="1" applyFill="1" applyBorder="1"/>
    <xf numFmtId="0" fontId="0" fillId="7" borderId="66" xfId="0" applyFill="1" applyBorder="1"/>
    <xf numFmtId="0" fontId="4" fillId="7" borderId="0" xfId="6" applyFont="1" applyFill="1"/>
    <xf numFmtId="0" fontId="1" fillId="7" borderId="112" xfId="6" applyFont="1" applyFill="1" applyBorder="1"/>
    <xf numFmtId="0" fontId="0" fillId="7" borderId="115" xfId="6" applyFont="1" applyFill="1" applyBorder="1"/>
    <xf numFmtId="0" fontId="1" fillId="7" borderId="66" xfId="6" applyFont="1" applyFill="1" applyBorder="1"/>
    <xf numFmtId="0" fontId="18" fillId="0" borderId="0" xfId="7" applyFont="1" applyBorder="1"/>
    <xf numFmtId="0" fontId="1" fillId="0" borderId="84" xfId="7" applyFont="1" applyBorder="1" applyAlignment="1">
      <alignment horizontal="center"/>
    </xf>
    <xf numFmtId="0" fontId="1" fillId="7" borderId="113" xfId="6" applyFont="1" applyFill="1" applyBorder="1"/>
    <xf numFmtId="0" fontId="1" fillId="7" borderId="5" xfId="6" applyFont="1" applyFill="1" applyBorder="1"/>
    <xf numFmtId="0" fontId="4" fillId="7" borderId="0" xfId="6" applyFont="1" applyFill="1" applyBorder="1"/>
    <xf numFmtId="0" fontId="1" fillId="7" borderId="3" xfId="6" applyFont="1" applyFill="1" applyBorder="1" applyAlignment="1">
      <alignment horizontal="left"/>
    </xf>
    <xf numFmtId="0" fontId="1" fillId="7" borderId="111" xfId="6" applyFont="1" applyFill="1" applyBorder="1" applyAlignment="1">
      <alignment horizontal="left"/>
    </xf>
    <xf numFmtId="0" fontId="31" fillId="0" borderId="12" xfId="6" applyFont="1" applyFill="1" applyBorder="1" applyAlignment="1">
      <alignment vertical="top"/>
    </xf>
    <xf numFmtId="0" fontId="55" fillId="0" borderId="22" xfId="2" applyFont="1" applyFill="1" applyBorder="1" applyAlignment="1"/>
    <xf numFmtId="0" fontId="55" fillId="0" borderId="128" xfId="2" applyFont="1" applyFill="1" applyBorder="1" applyAlignment="1">
      <alignment vertical="top"/>
    </xf>
    <xf numFmtId="0" fontId="58" fillId="0" borderId="13" xfId="2" applyFont="1" applyFill="1" applyBorder="1" applyAlignment="1"/>
    <xf numFmtId="0" fontId="55" fillId="0" borderId="108" xfId="2" applyFont="1" applyFill="1" applyBorder="1" applyAlignment="1">
      <alignment vertical="top"/>
    </xf>
    <xf numFmtId="0" fontId="55" fillId="0" borderId="0" xfId="2" applyFont="1" applyFill="1" applyBorder="1" applyAlignment="1">
      <alignment vertical="top"/>
    </xf>
    <xf numFmtId="0" fontId="20" fillId="0" borderId="42" xfId="2" applyFont="1" applyFill="1" applyBorder="1" applyAlignment="1"/>
    <xf numFmtId="0" fontId="20" fillId="0" borderId="9" xfId="2" applyFont="1" applyFill="1" applyBorder="1" applyAlignment="1"/>
    <xf numFmtId="0" fontId="54" fillId="0" borderId="19" xfId="2" applyFont="1" applyFill="1" applyBorder="1" applyAlignment="1">
      <alignment horizontal="right" vertical="top"/>
    </xf>
    <xf numFmtId="0" fontId="19" fillId="0" borderId="129" xfId="1" applyFont="1" applyFill="1" applyBorder="1" applyAlignment="1">
      <alignment horizontal="right"/>
    </xf>
    <xf numFmtId="0" fontId="19" fillId="0" borderId="63" xfId="1" applyFont="1" applyFill="1" applyBorder="1" applyAlignment="1">
      <alignment horizontal="center" vertical="top"/>
    </xf>
    <xf numFmtId="0" fontId="20" fillId="0" borderId="63" xfId="2" applyFont="1" applyFill="1" applyBorder="1" applyAlignment="1">
      <alignment horizontal="center" vertical="top"/>
    </xf>
    <xf numFmtId="0" fontId="20" fillId="0" borderId="57" xfId="2" applyFont="1" applyFill="1" applyBorder="1" applyAlignment="1">
      <alignment vertical="top"/>
    </xf>
    <xf numFmtId="0" fontId="59" fillId="25" borderId="16" xfId="1" applyFont="1" applyFill="1" applyBorder="1" applyAlignment="1"/>
    <xf numFmtId="0" fontId="55" fillId="4" borderId="42" xfId="2" applyFont="1" applyFill="1" applyBorder="1" applyAlignment="1"/>
    <xf numFmtId="0" fontId="55" fillId="4" borderId="41" xfId="2" applyFont="1" applyFill="1" applyBorder="1" applyAlignment="1"/>
    <xf numFmtId="0" fontId="58" fillId="0" borderId="34" xfId="2" applyFont="1" applyFill="1" applyBorder="1" applyAlignment="1"/>
    <xf numFmtId="0" fontId="58" fillId="13" borderId="9" xfId="2" applyFont="1" applyFill="1" applyBorder="1" applyAlignment="1"/>
    <xf numFmtId="0" fontId="4" fillId="12" borderId="130" xfId="1" applyFont="1" applyFill="1" applyBorder="1" applyAlignment="1"/>
    <xf numFmtId="0" fontId="4" fillId="12" borderId="131" xfId="1" applyFont="1" applyFill="1" applyBorder="1" applyAlignment="1"/>
    <xf numFmtId="0" fontId="1" fillId="0" borderId="7" xfId="1" applyFont="1" applyFill="1" applyBorder="1" applyAlignment="1"/>
    <xf numFmtId="0" fontId="4" fillId="0" borderId="7" xfId="1" applyFont="1" applyFill="1" applyBorder="1" applyAlignment="1"/>
    <xf numFmtId="0" fontId="55" fillId="0" borderId="28" xfId="2" applyFont="1" applyFill="1" applyBorder="1" applyAlignment="1"/>
    <xf numFmtId="0" fontId="55" fillId="0" borderId="34" xfId="2" applyFont="1" applyFill="1" applyBorder="1" applyAlignment="1"/>
    <xf numFmtId="0" fontId="6" fillId="0" borderId="0" xfId="2" applyFill="1" applyBorder="1" applyAlignment="1">
      <alignment vertical="top"/>
    </xf>
    <xf numFmtId="0" fontId="4" fillId="13" borderId="0" xfId="2" applyFont="1" applyFill="1" applyBorder="1" applyAlignment="1"/>
    <xf numFmtId="0" fontId="7" fillId="0" borderId="25" xfId="2" applyFont="1" applyFill="1" applyBorder="1" applyAlignment="1">
      <alignment horizontal="right"/>
    </xf>
    <xf numFmtId="0" fontId="1" fillId="0" borderId="29" xfId="1" applyFont="1" applyFill="1" applyBorder="1" applyAlignment="1"/>
    <xf numFmtId="0" fontId="0" fillId="8" borderId="12" xfId="1" applyFont="1" applyFill="1" applyBorder="1" applyAlignment="1">
      <alignment vertical="top"/>
    </xf>
    <xf numFmtId="0" fontId="7" fillId="8" borderId="22" xfId="2" applyFont="1" applyFill="1" applyBorder="1" applyAlignment="1">
      <alignment vertical="top"/>
    </xf>
    <xf numFmtId="0" fontId="55" fillId="0" borderId="27" xfId="2" applyFont="1" applyFill="1" applyBorder="1" applyAlignment="1"/>
    <xf numFmtId="0" fontId="1" fillId="0" borderId="67" xfId="5" applyFont="1" applyFill="1" applyBorder="1" applyAlignment="1">
      <alignment textRotation="90"/>
    </xf>
    <xf numFmtId="0" fontId="1" fillId="0" borderId="0" xfId="5" applyFont="1" applyFill="1" applyAlignment="1">
      <alignment horizontal="center" textRotation="90"/>
    </xf>
    <xf numFmtId="0" fontId="1" fillId="0" borderId="0" xfId="5" applyFont="1" applyFill="1" applyAlignment="1">
      <alignment textRotation="90"/>
    </xf>
    <xf numFmtId="0" fontId="0" fillId="0" borderId="1" xfId="6" applyFont="1" applyFill="1" applyBorder="1" applyAlignment="1">
      <alignment vertical="center" wrapText="1"/>
    </xf>
    <xf numFmtId="0" fontId="0" fillId="0" borderId="1" xfId="0" applyBorder="1" applyAlignment="1">
      <alignment wrapText="1"/>
    </xf>
    <xf numFmtId="0" fontId="4" fillId="0" borderId="1" xfId="6" applyFont="1" applyFill="1" applyBorder="1" applyAlignment="1">
      <alignment wrapText="1"/>
    </xf>
    <xf numFmtId="0" fontId="0" fillId="0" borderId="1" xfId="7" applyFont="1" applyFill="1" applyBorder="1" applyAlignment="1">
      <alignment wrapText="1"/>
    </xf>
    <xf numFmtId="0" fontId="0" fillId="0" borderId="1" xfId="0" applyFill="1" applyBorder="1" applyAlignment="1">
      <alignment wrapText="1"/>
    </xf>
    <xf numFmtId="0" fontId="50" fillId="0" borderId="0" xfId="7" applyFont="1" applyFill="1" applyAlignment="1">
      <alignment wrapText="1"/>
    </xf>
    <xf numFmtId="0" fontId="0" fillId="0" borderId="1" xfId="6" applyFont="1" applyFill="1" applyBorder="1" applyAlignment="1">
      <alignment wrapText="1"/>
    </xf>
    <xf numFmtId="0" fontId="1" fillId="0" borderId="0" xfId="6" applyFont="1" applyFill="1" applyAlignment="1">
      <alignment wrapText="1"/>
    </xf>
    <xf numFmtId="0" fontId="0" fillId="0" borderId="1" xfId="6" applyFont="1" applyBorder="1" applyAlignment="1">
      <alignment wrapText="1"/>
    </xf>
    <xf numFmtId="0" fontId="0" fillId="0" borderId="1" xfId="0" applyBorder="1"/>
    <xf numFmtId="0" fontId="4" fillId="0" borderId="84" xfId="1" applyFont="1" applyFill="1" applyBorder="1" applyAlignment="1">
      <alignment horizontal="center"/>
    </xf>
    <xf numFmtId="0" fontId="4" fillId="0" borderId="84" xfId="1" applyFont="1" applyFill="1" applyBorder="1" applyAlignment="1">
      <alignment horizontal="center" vertical="top"/>
    </xf>
    <xf numFmtId="0" fontId="1" fillId="10" borderId="96" xfId="10" applyFont="1" applyFill="1" applyBorder="1" applyAlignment="1">
      <alignment horizontal="center"/>
    </xf>
    <xf numFmtId="0" fontId="0" fillId="0" borderId="0" xfId="0" applyFill="1" applyAlignment="1">
      <alignment vertical="center"/>
    </xf>
    <xf numFmtId="0" fontId="1" fillId="0" borderId="0" xfId="0" applyFont="1" applyFill="1" applyAlignment="1">
      <alignment vertical="center"/>
    </xf>
    <xf numFmtId="0" fontId="6" fillId="0" borderId="1" xfId="2" applyFill="1" applyBorder="1" applyAlignment="1"/>
    <xf numFmtId="0" fontId="6" fillId="0" borderId="1" xfId="2" applyBorder="1"/>
    <xf numFmtId="0" fontId="0" fillId="0" borderId="0" xfId="0" applyAlignment="1">
      <alignment horizontal="center"/>
    </xf>
    <xf numFmtId="0" fontId="0" fillId="0" borderId="0" xfId="7" applyFont="1" applyAlignment="1">
      <alignment horizontal="center"/>
    </xf>
    <xf numFmtId="0" fontId="1" fillId="0" borderId="0" xfId="7" applyFont="1" applyAlignment="1">
      <alignment horizontal="center"/>
    </xf>
    <xf numFmtId="0" fontId="0" fillId="0" borderId="0" xfId="0" applyAlignment="1">
      <alignment horizontal="center" vertical="center"/>
    </xf>
    <xf numFmtId="0" fontId="25" fillId="0" borderId="0" xfId="12" applyFont="1" applyFill="1" applyAlignment="1">
      <alignment horizontal="right"/>
    </xf>
    <xf numFmtId="0" fontId="1" fillId="0" borderId="81" xfId="8" applyFont="1" applyFill="1" applyBorder="1" applyAlignment="1"/>
    <xf numFmtId="0" fontId="1" fillId="0" borderId="82" xfId="7" applyFont="1" applyFill="1" applyBorder="1" applyAlignment="1"/>
    <xf numFmtId="0" fontId="0" fillId="0" borderId="1" xfId="0" applyFont="1" applyBorder="1" applyAlignment="1">
      <alignment horizontal="center"/>
    </xf>
    <xf numFmtId="0" fontId="58" fillId="0" borderId="13" xfId="2" applyFont="1" applyBorder="1" applyAlignment="1"/>
    <xf numFmtId="0" fontId="0" fillId="11" borderId="1" xfId="5" applyFont="1" applyFill="1" applyBorder="1" applyAlignment="1"/>
    <xf numFmtId="0" fontId="1" fillId="0" borderId="67" xfId="5" applyFont="1" applyFill="1" applyBorder="1" applyAlignment="1">
      <alignment textRotation="90"/>
    </xf>
    <xf numFmtId="0" fontId="1" fillId="0" borderId="0" xfId="5" applyFont="1" applyFill="1" applyAlignment="1">
      <alignment horizontal="center" textRotation="90"/>
    </xf>
    <xf numFmtId="0" fontId="1" fillId="0" borderId="0" xfId="5" applyFont="1" applyFill="1" applyAlignment="1">
      <alignment textRotation="90"/>
    </xf>
    <xf numFmtId="0" fontId="1" fillId="0" borderId="61" xfId="8" applyFont="1" applyFill="1" applyBorder="1" applyAlignment="1">
      <alignment textRotation="90"/>
    </xf>
    <xf numFmtId="0" fontId="0" fillId="0" borderId="0" xfId="8" applyFont="1" applyFill="1" applyBorder="1" applyAlignment="1">
      <alignment textRotation="90"/>
    </xf>
    <xf numFmtId="0" fontId="1" fillId="0" borderId="0" xfId="8" applyFont="1" applyFill="1" applyAlignment="1">
      <alignment textRotation="90"/>
    </xf>
    <xf numFmtId="0" fontId="20" fillId="0" borderId="118" xfId="2" applyFont="1" applyBorder="1" applyAlignment="1"/>
    <xf numFmtId="0" fontId="20" fillId="0" borderId="117" xfId="2" applyFont="1" applyBorder="1" applyAlignment="1"/>
    <xf numFmtId="0" fontId="20" fillId="0" borderId="0" xfId="2" applyFont="1" applyBorder="1" applyAlignment="1"/>
    <xf numFmtId="0" fontId="57" fillId="0" borderId="116" xfId="2" applyFont="1" applyBorder="1" applyAlignment="1"/>
    <xf numFmtId="0" fontId="60" fillId="0" borderId="34" xfId="2" applyFont="1" applyFill="1" applyBorder="1" applyAlignment="1"/>
    <xf numFmtId="0" fontId="61" fillId="0" borderId="0" xfId="1" applyFont="1" applyFill="1" applyBorder="1" applyAlignment="1"/>
  </cellXfs>
  <cellStyles count="18">
    <cellStyle name="Hyperlink" xfId="2" builtinId="8"/>
    <cellStyle name="Hyperlink 2" xfId="4"/>
    <cellStyle name="Hyperlink 2 2" xfId="14"/>
    <cellStyle name="Normal" xfId="0" builtinId="0"/>
    <cellStyle name="Normal 2" xfId="1"/>
    <cellStyle name="Normal 2 2" xfId="13"/>
    <cellStyle name="Normal 2 2 2 2" xfId="8"/>
    <cellStyle name="Normal 2 3" xfId="5"/>
    <cellStyle name="Normal 2 3 2" xfId="12"/>
    <cellStyle name="Normal 2 4 2" xfId="15"/>
    <cellStyle name="Normal 2 5" xfId="7"/>
    <cellStyle name="Normal 2 5 2 2" xfId="16"/>
    <cellStyle name="Normal 3 2" xfId="10"/>
    <cellStyle name="Normal 3 3" xfId="9"/>
    <cellStyle name="Normal 4" xfId="3"/>
    <cellStyle name="Normal 5" xfId="6"/>
    <cellStyle name="Normal 5 3 2" xfId="17"/>
    <cellStyle name="Normal 6 2 2" xfId="11"/>
  </cellStyles>
  <dxfs count="3142">
    <dxf>
      <font>
        <color rgb="FF9C0006"/>
      </font>
      <fill>
        <patternFill>
          <bgColor rgb="FFFFC7CE"/>
        </patternFill>
      </fill>
    </dxf>
    <dxf>
      <font>
        <color rgb="FF9C0006"/>
      </font>
      <fill>
        <patternFill>
          <bgColor rgb="FFFFC7CE"/>
        </patternFill>
      </fill>
    </dxf>
    <dxf>
      <font>
        <b/>
        <i val="0"/>
        <color rgb="FFFF0000"/>
      </font>
    </dxf>
    <dxf>
      <font>
        <color rgb="FF00B05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0070C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ill>
        <patternFill>
          <bgColor rgb="FFFFFF99"/>
        </patternFill>
      </fill>
    </dxf>
    <dxf>
      <font>
        <color rgb="FF9C0006"/>
      </font>
      <fill>
        <patternFill>
          <bgColor rgb="FFFFC7CE"/>
        </patternFill>
      </fill>
    </dxf>
    <dxf>
      <font>
        <b/>
        <i val="0"/>
      </font>
    </dxf>
    <dxf>
      <fill>
        <patternFill>
          <bgColor rgb="FFCCFFCC"/>
        </patternFill>
      </fill>
    </dxf>
    <dxf>
      <font>
        <color rgb="FFCC0000"/>
      </font>
    </dxf>
    <dxf>
      <fill>
        <patternFill>
          <bgColor rgb="FFFFFF99"/>
        </patternFill>
      </fill>
    </dxf>
    <dxf>
      <fill>
        <patternFill>
          <bgColor theme="0" tint="-0.14996795556505021"/>
        </patternFill>
      </fill>
    </dxf>
    <dxf>
      <fill>
        <patternFill>
          <bgColor rgb="FFFFCC99"/>
        </patternFill>
      </fill>
    </dxf>
    <dxf>
      <font>
        <b/>
        <i val="0"/>
      </font>
    </dxf>
    <dxf>
      <font>
        <color theme="0"/>
      </font>
    </dxf>
    <dxf>
      <font>
        <b/>
        <i val="0"/>
      </font>
    </dxf>
    <dxf>
      <font>
        <color theme="4" tint="-0.24994659260841701"/>
      </font>
    </dxf>
    <dxf>
      <font>
        <color theme="4" tint="-0.24994659260841701"/>
      </font>
    </dxf>
    <dxf>
      <font>
        <b/>
        <i val="0"/>
      </font>
    </dxf>
    <dxf>
      <font>
        <b/>
        <i val="0"/>
      </font>
    </dxf>
    <dxf>
      <font>
        <color theme="5" tint="0.39994506668294322"/>
      </font>
    </dxf>
    <dxf>
      <font>
        <b/>
        <i val="0"/>
      </font>
    </dxf>
    <dxf>
      <font>
        <b/>
        <i val="0"/>
      </font>
    </dxf>
    <dxf>
      <fill>
        <patternFill>
          <bgColor rgb="FFFFFF99"/>
        </patternFill>
      </fill>
    </dxf>
    <dxf>
      <fill>
        <patternFill>
          <bgColor theme="0" tint="-0.14996795556505021"/>
        </patternFill>
      </fill>
    </dxf>
    <dxf>
      <fill>
        <patternFill>
          <bgColor rgb="FFFFCC99"/>
        </patternFill>
      </fill>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ont>
        <b/>
        <i val="0"/>
      </font>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fill>
        <patternFill patternType="none">
          <bgColor auto="1"/>
        </patternFill>
      </fill>
    </dxf>
    <dxf>
      <font>
        <b/>
        <i val="0"/>
        <color rgb="FFFF0000"/>
      </font>
    </dxf>
    <dxf>
      <font>
        <color rgb="FF9C0006"/>
      </font>
      <fill>
        <patternFill>
          <bgColor rgb="FFFFC7CE"/>
        </patternFill>
      </fill>
    </dxf>
    <dxf>
      <font>
        <b/>
        <i val="0"/>
      </font>
    </dxf>
    <dxf>
      <font>
        <color rgb="FFFF0000"/>
      </font>
    </dxf>
    <dxf>
      <font>
        <b/>
        <i val="0"/>
        <color rgb="FFFF0000"/>
      </font>
    </dxf>
    <dxf>
      <font>
        <b/>
        <i val="0"/>
      </font>
    </dxf>
    <dxf>
      <font>
        <color rgb="FFFF0000"/>
      </font>
    </dxf>
    <dxf>
      <font>
        <b/>
        <i val="0"/>
      </font>
    </dxf>
    <dxf>
      <font>
        <b/>
        <i val="0"/>
      </font>
    </dxf>
    <dxf>
      <font>
        <b/>
        <i val="0"/>
      </font>
    </dxf>
    <dxf>
      <font>
        <color rgb="FFFF000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C0006"/>
      </font>
      <fill>
        <patternFill>
          <bgColor rgb="FFFFC7CE"/>
        </patternFill>
      </fill>
    </dxf>
    <dxf>
      <font>
        <color rgb="FFCC0000"/>
      </font>
    </dxf>
    <dxf>
      <fill>
        <patternFill>
          <bgColor rgb="FFCCFFCC"/>
        </patternFill>
      </fill>
    </dxf>
    <dxf>
      <fill>
        <patternFill>
          <bgColor rgb="FFFFFF99"/>
        </patternFill>
      </fill>
    </dxf>
    <dxf>
      <fill>
        <patternFill>
          <bgColor theme="0" tint="-0.14996795556505021"/>
        </patternFill>
      </fill>
    </dxf>
    <dxf>
      <fill>
        <patternFill>
          <bgColor rgb="FFFFCC99"/>
        </patternFill>
      </fill>
    </dxf>
    <dxf>
      <font>
        <color rgb="FF92D050"/>
      </font>
    </dxf>
    <dxf>
      <font>
        <color theme="0"/>
      </font>
    </dxf>
    <dxf>
      <fill>
        <patternFill>
          <bgColor rgb="FFFFFF99"/>
        </patternFill>
      </fill>
    </dxf>
    <dxf>
      <font>
        <color theme="5" tint="0.39994506668294322"/>
      </font>
    </dxf>
    <dxf>
      <font>
        <color theme="0"/>
      </font>
    </dxf>
    <dxf>
      <fill>
        <patternFill>
          <bgColor rgb="FFFFFF99"/>
        </patternFill>
      </fill>
    </dxf>
    <dxf>
      <font>
        <color rgb="FF0070C0"/>
      </font>
    </dxf>
    <dxf>
      <font>
        <color rgb="FF0070C0"/>
      </font>
    </dxf>
    <dxf>
      <font>
        <color theme="0" tint="-0.14996795556505021"/>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B050"/>
      </font>
    </dxf>
    <dxf>
      <font>
        <b/>
        <i val="0"/>
        <color rgb="FFFF0000"/>
      </font>
    </dxf>
    <dxf>
      <font>
        <color rgb="FF00B050"/>
      </font>
    </dxf>
    <dxf>
      <font>
        <b/>
        <i val="0"/>
        <color rgb="FFFF0000"/>
      </font>
    </dxf>
    <dxf>
      <font>
        <b/>
        <i val="0"/>
        <color rgb="FFFF0000"/>
      </font>
    </dxf>
    <dxf>
      <font>
        <b/>
        <i val="0"/>
        <color rgb="FFFF0000"/>
      </font>
    </dxf>
    <dxf>
      <font>
        <color rgb="FF00B050"/>
      </font>
    </dxf>
    <dxf>
      <font>
        <b/>
        <i val="0"/>
        <color rgb="FFFF0000"/>
      </font>
    </dxf>
    <dxf>
      <font>
        <color rgb="FF00B050"/>
      </font>
    </dxf>
    <dxf>
      <font>
        <b/>
        <i val="0"/>
        <color rgb="FFFF0000"/>
      </font>
    </dxf>
    <dxf>
      <font>
        <color rgb="FF00B050"/>
      </font>
    </dxf>
    <dxf>
      <font>
        <color rgb="FF9C0006"/>
      </font>
      <fill>
        <patternFill>
          <bgColor rgb="FFFFC7CE"/>
        </patternFill>
      </fill>
    </dxf>
    <dxf>
      <font>
        <b/>
        <i val="0"/>
      </font>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C0006"/>
      </font>
      <fill>
        <patternFill>
          <bgColor rgb="FFFFC7CE"/>
        </patternFill>
      </fill>
    </dxf>
    <dxf>
      <font>
        <color rgb="FFCC0000"/>
      </font>
    </dxf>
    <dxf>
      <fill>
        <patternFill>
          <bgColor rgb="FFCCFFCC"/>
        </patternFill>
      </fill>
    </dxf>
    <dxf>
      <font>
        <b/>
        <i val="0"/>
      </font>
    </dxf>
    <dxf>
      <fill>
        <patternFill>
          <bgColor rgb="FFFFFF99"/>
        </patternFill>
      </fill>
    </dxf>
    <dxf>
      <fill>
        <patternFill>
          <bgColor theme="0" tint="-0.14996795556505021"/>
        </patternFill>
      </fill>
    </dxf>
    <dxf>
      <fill>
        <patternFill>
          <bgColor rgb="FFFFCC99"/>
        </patternFill>
      </fill>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2D050"/>
      </font>
    </dxf>
    <dxf>
      <font>
        <color theme="0"/>
      </font>
    </dxf>
    <dxf>
      <fill>
        <patternFill>
          <bgColor rgb="FFFFFF99"/>
        </patternFill>
      </fill>
    </dxf>
    <dxf>
      <font>
        <color theme="5" tint="0.39994506668294322"/>
      </font>
    </dxf>
    <dxf>
      <font>
        <color theme="0"/>
      </font>
    </dxf>
    <dxf>
      <fill>
        <patternFill>
          <bgColor rgb="FFFFFF99"/>
        </patternFill>
      </fill>
    </dxf>
    <dxf>
      <font>
        <color rgb="FF0070C0"/>
      </font>
    </dxf>
    <dxf>
      <font>
        <color theme="0" tint="-0.14996795556505021"/>
      </font>
    </dxf>
    <dxf>
      <font>
        <color rgb="FF0070C0"/>
      </font>
    </dxf>
    <dxf>
      <font>
        <b/>
        <i val="0"/>
      </font>
    </dxf>
    <dxf>
      <font>
        <b/>
        <i val="0"/>
      </font>
    </dxf>
    <dxf>
      <font>
        <b/>
        <i val="0"/>
      </font>
    </dxf>
    <dxf>
      <font>
        <b/>
        <i val="0"/>
      </font>
    </dxf>
    <dxf>
      <font>
        <b/>
        <i val="0"/>
        <color rgb="FFFF0000"/>
      </font>
    </dxf>
    <dxf>
      <font>
        <b/>
        <i val="0"/>
        <color rgb="FFFF0000"/>
      </font>
    </dxf>
  </dxfs>
  <tableStyles count="0" defaultTableStyle="TableStyleMedium2" defaultPivotStyle="PivotStyleLight16"/>
  <colors>
    <mruColors>
      <color rgb="FF66FF66"/>
      <color rgb="FF99FF99"/>
      <color rgb="FFCCFFCC"/>
      <color rgb="FFCC0000"/>
      <color rgb="FFFFCC99"/>
      <color rgb="FFFFFF99"/>
      <color rgb="FFFFFFCC"/>
      <color rgb="FFCCECFF"/>
      <color rgb="FFCCFF99"/>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gif"/><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1.pn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259596</xdr:colOff>
      <xdr:row>1</xdr:row>
      <xdr:rowOff>159525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240546" cy="30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1290496</xdr:colOff>
      <xdr:row>49</xdr:row>
      <xdr:rowOff>41672</xdr:rowOff>
    </xdr:from>
    <xdr:to>
      <xdr:col>13</xdr:col>
      <xdr:colOff>178069</xdr:colOff>
      <xdr:row>50</xdr:row>
      <xdr:rowOff>85725</xdr:rowOff>
    </xdr:to>
    <xdr:pic>
      <xdr:nvPicPr>
        <xdr:cNvPr id="30" name="Picture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396" y="7975997"/>
          <a:ext cx="182973" cy="205978"/>
        </a:xfrm>
        <a:prstGeom prst="rect">
          <a:avLst/>
        </a:prstGeom>
      </xdr:spPr>
    </xdr:pic>
    <xdr:clientData/>
  </xdr:twoCellAnchor>
  <xdr:twoCellAnchor editAs="oneCell">
    <xdr:from>
      <xdr:col>0</xdr:col>
      <xdr:colOff>19050</xdr:colOff>
      <xdr:row>0</xdr:row>
      <xdr:rowOff>19050</xdr:rowOff>
    </xdr:from>
    <xdr:to>
      <xdr:col>1</xdr:col>
      <xdr:colOff>78620</xdr:colOff>
      <xdr:row>1</xdr:row>
      <xdr:rowOff>159525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9050"/>
          <a:ext cx="240545" cy="302400"/>
        </a:xfrm>
        <a:prstGeom prst="rect">
          <a:avLst/>
        </a:prstGeom>
      </xdr:spPr>
    </xdr:pic>
    <xdr:clientData/>
  </xdr:twoCellAnchor>
  <xdr:twoCellAnchor editAs="oneCell">
    <xdr:from>
      <xdr:col>10</xdr:col>
      <xdr:colOff>1295400</xdr:colOff>
      <xdr:row>16</xdr:row>
      <xdr:rowOff>19050</xdr:rowOff>
    </xdr:from>
    <xdr:to>
      <xdr:col>11</xdr:col>
      <xdr:colOff>185430</xdr:colOff>
      <xdr:row>17</xdr:row>
      <xdr:rowOff>112725</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24425" y="2362200"/>
          <a:ext cx="204480" cy="255600"/>
        </a:xfrm>
        <a:prstGeom prst="rect">
          <a:avLst/>
        </a:prstGeom>
      </xdr:spPr>
    </xdr:pic>
    <xdr:clientData/>
  </xdr:twoCellAnchor>
  <xdr:twoCellAnchor editAs="oneCell">
    <xdr:from>
      <xdr:col>11</xdr:col>
      <xdr:colOff>0</xdr:colOff>
      <xdr:row>22</xdr:row>
      <xdr:rowOff>0</xdr:rowOff>
    </xdr:from>
    <xdr:to>
      <xdr:col>12</xdr:col>
      <xdr:colOff>4455</xdr:colOff>
      <xdr:row>23</xdr:row>
      <xdr:rowOff>93675</xdr:rowOff>
    </xdr:to>
    <xdr:pic>
      <xdr:nvPicPr>
        <xdr:cNvPr id="55" name="Picture 5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3475" y="3324225"/>
          <a:ext cx="204480" cy="255600"/>
        </a:xfrm>
        <a:prstGeom prst="rect">
          <a:avLst/>
        </a:prstGeom>
      </xdr:spPr>
    </xdr:pic>
    <xdr:clientData/>
  </xdr:twoCellAnchor>
  <xdr:twoCellAnchor editAs="oneCell">
    <xdr:from>
      <xdr:col>11</xdr:col>
      <xdr:colOff>0</xdr:colOff>
      <xdr:row>31</xdr:row>
      <xdr:rowOff>0</xdr:rowOff>
    </xdr:from>
    <xdr:to>
      <xdr:col>12</xdr:col>
      <xdr:colOff>4455</xdr:colOff>
      <xdr:row>32</xdr:row>
      <xdr:rowOff>93675</xdr:rowOff>
    </xdr:to>
    <xdr:pic>
      <xdr:nvPicPr>
        <xdr:cNvPr id="61" name="Picture 6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3475" y="4800600"/>
          <a:ext cx="204480" cy="255600"/>
        </a:xfrm>
        <a:prstGeom prst="rect">
          <a:avLst/>
        </a:prstGeom>
      </xdr:spPr>
    </xdr:pic>
    <xdr:clientData/>
  </xdr:twoCellAnchor>
  <xdr:twoCellAnchor editAs="oneCell">
    <xdr:from>
      <xdr:col>13</xdr:col>
      <xdr:colOff>0</xdr:colOff>
      <xdr:row>31</xdr:row>
      <xdr:rowOff>0</xdr:rowOff>
    </xdr:from>
    <xdr:to>
      <xdr:col>14</xdr:col>
      <xdr:colOff>4455</xdr:colOff>
      <xdr:row>32</xdr:row>
      <xdr:rowOff>93675</xdr:rowOff>
    </xdr:to>
    <xdr:pic>
      <xdr:nvPicPr>
        <xdr:cNvPr id="64" name="Picture 6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8900" y="4800600"/>
          <a:ext cx="204480" cy="255600"/>
        </a:xfrm>
        <a:prstGeom prst="rect">
          <a:avLst/>
        </a:prstGeom>
      </xdr:spPr>
    </xdr:pic>
    <xdr:clientData/>
  </xdr:twoCellAnchor>
  <xdr:twoCellAnchor editAs="oneCell">
    <xdr:from>
      <xdr:col>13</xdr:col>
      <xdr:colOff>0</xdr:colOff>
      <xdr:row>67</xdr:row>
      <xdr:rowOff>0</xdr:rowOff>
    </xdr:from>
    <xdr:to>
      <xdr:col>14</xdr:col>
      <xdr:colOff>4455</xdr:colOff>
      <xdr:row>68</xdr:row>
      <xdr:rowOff>84150</xdr:rowOff>
    </xdr:to>
    <xdr:pic>
      <xdr:nvPicPr>
        <xdr:cNvPr id="79" name="Picture 7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8900" y="10763250"/>
          <a:ext cx="204480" cy="255600"/>
        </a:xfrm>
        <a:prstGeom prst="rect">
          <a:avLst/>
        </a:prstGeom>
      </xdr:spPr>
    </xdr:pic>
    <xdr:clientData/>
  </xdr:twoCellAnchor>
  <xdr:twoCellAnchor editAs="oneCell">
    <xdr:from>
      <xdr:col>11</xdr:col>
      <xdr:colOff>0</xdr:colOff>
      <xdr:row>95</xdr:row>
      <xdr:rowOff>0</xdr:rowOff>
    </xdr:from>
    <xdr:to>
      <xdr:col>12</xdr:col>
      <xdr:colOff>4455</xdr:colOff>
      <xdr:row>96</xdr:row>
      <xdr:rowOff>93675</xdr:rowOff>
    </xdr:to>
    <xdr:pic>
      <xdr:nvPicPr>
        <xdr:cNvPr id="80" name="Picture 7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3475" y="15411450"/>
          <a:ext cx="204480" cy="255600"/>
        </a:xfrm>
        <a:prstGeom prst="rect">
          <a:avLst/>
        </a:prstGeom>
      </xdr:spPr>
    </xdr:pic>
    <xdr:clientData/>
  </xdr:twoCellAnchor>
  <xdr:twoCellAnchor editAs="oneCell">
    <xdr:from>
      <xdr:col>13</xdr:col>
      <xdr:colOff>0</xdr:colOff>
      <xdr:row>95</xdr:row>
      <xdr:rowOff>0</xdr:rowOff>
    </xdr:from>
    <xdr:to>
      <xdr:col>14</xdr:col>
      <xdr:colOff>4455</xdr:colOff>
      <xdr:row>96</xdr:row>
      <xdr:rowOff>93675</xdr:rowOff>
    </xdr:to>
    <xdr:pic>
      <xdr:nvPicPr>
        <xdr:cNvPr id="96" name="Picture 9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8900" y="15411450"/>
          <a:ext cx="204480" cy="255600"/>
        </a:xfrm>
        <a:prstGeom prst="rect">
          <a:avLst/>
        </a:prstGeom>
      </xdr:spPr>
    </xdr:pic>
    <xdr:clientData/>
  </xdr:twoCellAnchor>
  <xdr:twoCellAnchor editAs="oneCell">
    <xdr:from>
      <xdr:col>11</xdr:col>
      <xdr:colOff>0</xdr:colOff>
      <xdr:row>128</xdr:row>
      <xdr:rowOff>0</xdr:rowOff>
    </xdr:from>
    <xdr:to>
      <xdr:col>12</xdr:col>
      <xdr:colOff>4455</xdr:colOff>
      <xdr:row>129</xdr:row>
      <xdr:rowOff>93675</xdr:rowOff>
    </xdr:to>
    <xdr:pic>
      <xdr:nvPicPr>
        <xdr:cNvPr id="97" name="Picture 9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3475" y="20888325"/>
          <a:ext cx="204480" cy="255600"/>
        </a:xfrm>
        <a:prstGeom prst="rect">
          <a:avLst/>
        </a:prstGeom>
      </xdr:spPr>
    </xdr:pic>
    <xdr:clientData/>
  </xdr:twoCellAnchor>
  <xdr:twoCellAnchor editAs="oneCell">
    <xdr:from>
      <xdr:col>13</xdr:col>
      <xdr:colOff>0</xdr:colOff>
      <xdr:row>128</xdr:row>
      <xdr:rowOff>0</xdr:rowOff>
    </xdr:from>
    <xdr:to>
      <xdr:col>14</xdr:col>
      <xdr:colOff>4455</xdr:colOff>
      <xdr:row>129</xdr:row>
      <xdr:rowOff>93675</xdr:rowOff>
    </xdr:to>
    <xdr:pic>
      <xdr:nvPicPr>
        <xdr:cNvPr id="104" name="Picture 10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8900" y="20888325"/>
          <a:ext cx="204480" cy="255600"/>
        </a:xfrm>
        <a:prstGeom prst="rect">
          <a:avLst/>
        </a:prstGeom>
      </xdr:spPr>
    </xdr:pic>
    <xdr:clientData/>
  </xdr:twoCellAnchor>
  <xdr:twoCellAnchor editAs="oneCell">
    <xdr:from>
      <xdr:col>12</xdr:col>
      <xdr:colOff>1009650</xdr:colOff>
      <xdr:row>15</xdr:row>
      <xdr:rowOff>38100</xdr:rowOff>
    </xdr:from>
    <xdr:to>
      <xdr:col>12</xdr:col>
      <xdr:colOff>1267633</xdr:colOff>
      <xdr:row>16</xdr:row>
      <xdr:rowOff>48975</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53150" y="2219325"/>
          <a:ext cx="257983" cy="172800"/>
        </a:xfrm>
        <a:prstGeom prst="rect">
          <a:avLst/>
        </a:prstGeom>
      </xdr:spPr>
    </xdr:pic>
    <xdr:clientData/>
  </xdr:twoCellAnchor>
  <xdr:twoCellAnchor editAs="oneCell">
    <xdr:from>
      <xdr:col>12</xdr:col>
      <xdr:colOff>1009650</xdr:colOff>
      <xdr:row>21</xdr:row>
      <xdr:rowOff>38100</xdr:rowOff>
    </xdr:from>
    <xdr:to>
      <xdr:col>12</xdr:col>
      <xdr:colOff>1267633</xdr:colOff>
      <xdr:row>22</xdr:row>
      <xdr:rowOff>48975</xdr:rowOff>
    </xdr:to>
    <xdr:pic>
      <xdr:nvPicPr>
        <xdr:cNvPr id="105" name="Picture 10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53150" y="3200400"/>
          <a:ext cx="257983" cy="172800"/>
        </a:xfrm>
        <a:prstGeom prst="rect">
          <a:avLst/>
        </a:prstGeom>
      </xdr:spPr>
    </xdr:pic>
    <xdr:clientData/>
  </xdr:twoCellAnchor>
  <xdr:twoCellAnchor editAs="oneCell">
    <xdr:from>
      <xdr:col>8</xdr:col>
      <xdr:colOff>485775</xdr:colOff>
      <xdr:row>54</xdr:row>
      <xdr:rowOff>38100</xdr:rowOff>
    </xdr:from>
    <xdr:to>
      <xdr:col>9</xdr:col>
      <xdr:colOff>162733</xdr:colOff>
      <xdr:row>55</xdr:row>
      <xdr:rowOff>48975</xdr:rowOff>
    </xdr:to>
    <xdr:pic>
      <xdr:nvPicPr>
        <xdr:cNvPr id="106" name="Picture 10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0" y="8639175"/>
          <a:ext cx="257983" cy="172800"/>
        </a:xfrm>
        <a:prstGeom prst="rect">
          <a:avLst/>
        </a:prstGeom>
      </xdr:spPr>
    </xdr:pic>
    <xdr:clientData/>
  </xdr:twoCellAnchor>
  <xdr:twoCellAnchor editAs="oneCell">
    <xdr:from>
      <xdr:col>10</xdr:col>
      <xdr:colOff>1019175</xdr:colOff>
      <xdr:row>53</xdr:row>
      <xdr:rowOff>38100</xdr:rowOff>
    </xdr:from>
    <xdr:to>
      <xdr:col>10</xdr:col>
      <xdr:colOff>1277158</xdr:colOff>
      <xdr:row>54</xdr:row>
      <xdr:rowOff>48975</xdr:rowOff>
    </xdr:to>
    <xdr:pic>
      <xdr:nvPicPr>
        <xdr:cNvPr id="107" name="Picture 10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8477250"/>
          <a:ext cx="257983" cy="172800"/>
        </a:xfrm>
        <a:prstGeom prst="rect">
          <a:avLst/>
        </a:prstGeom>
      </xdr:spPr>
    </xdr:pic>
    <xdr:clientData/>
  </xdr:twoCellAnchor>
  <xdr:twoCellAnchor editAs="oneCell">
    <xdr:from>
      <xdr:col>10</xdr:col>
      <xdr:colOff>1019175</xdr:colOff>
      <xdr:row>59</xdr:row>
      <xdr:rowOff>47625</xdr:rowOff>
    </xdr:from>
    <xdr:to>
      <xdr:col>10</xdr:col>
      <xdr:colOff>1277158</xdr:colOff>
      <xdr:row>60</xdr:row>
      <xdr:rowOff>58500</xdr:rowOff>
    </xdr:to>
    <xdr:pic>
      <xdr:nvPicPr>
        <xdr:cNvPr id="108" name="Picture 10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9486900"/>
          <a:ext cx="257983" cy="172800"/>
        </a:xfrm>
        <a:prstGeom prst="rect">
          <a:avLst/>
        </a:prstGeom>
      </xdr:spPr>
    </xdr:pic>
    <xdr:clientData/>
  </xdr:twoCellAnchor>
  <xdr:twoCellAnchor editAs="oneCell">
    <xdr:from>
      <xdr:col>12</xdr:col>
      <xdr:colOff>1000125</xdr:colOff>
      <xdr:row>59</xdr:row>
      <xdr:rowOff>47625</xdr:rowOff>
    </xdr:from>
    <xdr:to>
      <xdr:col>12</xdr:col>
      <xdr:colOff>1258108</xdr:colOff>
      <xdr:row>60</xdr:row>
      <xdr:rowOff>58500</xdr:rowOff>
    </xdr:to>
    <xdr:pic>
      <xdr:nvPicPr>
        <xdr:cNvPr id="109" name="Picture 10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3625" y="9486900"/>
          <a:ext cx="257983" cy="172800"/>
        </a:xfrm>
        <a:prstGeom prst="rect">
          <a:avLst/>
        </a:prstGeom>
      </xdr:spPr>
    </xdr:pic>
    <xdr:clientData/>
  </xdr:twoCellAnchor>
  <xdr:twoCellAnchor editAs="oneCell">
    <xdr:from>
      <xdr:col>10</xdr:col>
      <xdr:colOff>1019175</xdr:colOff>
      <xdr:row>62</xdr:row>
      <xdr:rowOff>47625</xdr:rowOff>
    </xdr:from>
    <xdr:to>
      <xdr:col>10</xdr:col>
      <xdr:colOff>1277158</xdr:colOff>
      <xdr:row>63</xdr:row>
      <xdr:rowOff>58500</xdr:rowOff>
    </xdr:to>
    <xdr:pic>
      <xdr:nvPicPr>
        <xdr:cNvPr id="110" name="Picture 10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9982200"/>
          <a:ext cx="257983" cy="172800"/>
        </a:xfrm>
        <a:prstGeom prst="rect">
          <a:avLst/>
        </a:prstGeom>
      </xdr:spPr>
    </xdr:pic>
    <xdr:clientData/>
  </xdr:twoCellAnchor>
  <xdr:twoCellAnchor editAs="oneCell">
    <xdr:from>
      <xdr:col>12</xdr:col>
      <xdr:colOff>1000125</xdr:colOff>
      <xdr:row>62</xdr:row>
      <xdr:rowOff>47625</xdr:rowOff>
    </xdr:from>
    <xdr:to>
      <xdr:col>12</xdr:col>
      <xdr:colOff>1258108</xdr:colOff>
      <xdr:row>63</xdr:row>
      <xdr:rowOff>58500</xdr:rowOff>
    </xdr:to>
    <xdr:pic>
      <xdr:nvPicPr>
        <xdr:cNvPr id="111" name="Picture 1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3625" y="9982200"/>
          <a:ext cx="257983" cy="172800"/>
        </a:xfrm>
        <a:prstGeom prst="rect">
          <a:avLst/>
        </a:prstGeom>
      </xdr:spPr>
    </xdr:pic>
    <xdr:clientData/>
  </xdr:twoCellAnchor>
  <xdr:twoCellAnchor editAs="oneCell">
    <xdr:from>
      <xdr:col>10</xdr:col>
      <xdr:colOff>1019175</xdr:colOff>
      <xdr:row>69</xdr:row>
      <xdr:rowOff>47625</xdr:rowOff>
    </xdr:from>
    <xdr:to>
      <xdr:col>10</xdr:col>
      <xdr:colOff>1277158</xdr:colOff>
      <xdr:row>70</xdr:row>
      <xdr:rowOff>58500</xdr:rowOff>
    </xdr:to>
    <xdr:pic>
      <xdr:nvPicPr>
        <xdr:cNvPr id="112" name="Picture 1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11153775"/>
          <a:ext cx="257983" cy="172800"/>
        </a:xfrm>
        <a:prstGeom prst="rect">
          <a:avLst/>
        </a:prstGeom>
      </xdr:spPr>
    </xdr:pic>
    <xdr:clientData/>
  </xdr:twoCellAnchor>
  <xdr:twoCellAnchor editAs="oneCell">
    <xdr:from>
      <xdr:col>12</xdr:col>
      <xdr:colOff>1000125</xdr:colOff>
      <xdr:row>69</xdr:row>
      <xdr:rowOff>38100</xdr:rowOff>
    </xdr:from>
    <xdr:to>
      <xdr:col>12</xdr:col>
      <xdr:colOff>1258108</xdr:colOff>
      <xdr:row>70</xdr:row>
      <xdr:rowOff>48975</xdr:rowOff>
    </xdr:to>
    <xdr:pic>
      <xdr:nvPicPr>
        <xdr:cNvPr id="113" name="Picture 1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3625" y="11144250"/>
          <a:ext cx="257983" cy="172800"/>
        </a:xfrm>
        <a:prstGeom prst="rect">
          <a:avLst/>
        </a:prstGeom>
      </xdr:spPr>
    </xdr:pic>
    <xdr:clientData/>
  </xdr:twoCellAnchor>
  <xdr:twoCellAnchor editAs="oneCell">
    <xdr:from>
      <xdr:col>10</xdr:col>
      <xdr:colOff>1019175</xdr:colOff>
      <xdr:row>110</xdr:row>
      <xdr:rowOff>47625</xdr:rowOff>
    </xdr:from>
    <xdr:to>
      <xdr:col>10</xdr:col>
      <xdr:colOff>1277158</xdr:colOff>
      <xdr:row>111</xdr:row>
      <xdr:rowOff>58500</xdr:rowOff>
    </xdr:to>
    <xdr:pic>
      <xdr:nvPicPr>
        <xdr:cNvPr id="114" name="Picture 1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17945100"/>
          <a:ext cx="257983" cy="172800"/>
        </a:xfrm>
        <a:prstGeom prst="rect">
          <a:avLst/>
        </a:prstGeom>
      </xdr:spPr>
    </xdr:pic>
    <xdr:clientData/>
  </xdr:twoCellAnchor>
  <xdr:twoCellAnchor editAs="oneCell">
    <xdr:from>
      <xdr:col>12</xdr:col>
      <xdr:colOff>1000125</xdr:colOff>
      <xdr:row>110</xdr:row>
      <xdr:rowOff>47625</xdr:rowOff>
    </xdr:from>
    <xdr:to>
      <xdr:col>12</xdr:col>
      <xdr:colOff>1258108</xdr:colOff>
      <xdr:row>111</xdr:row>
      <xdr:rowOff>58500</xdr:rowOff>
    </xdr:to>
    <xdr:pic>
      <xdr:nvPicPr>
        <xdr:cNvPr id="115" name="Picture 1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3625" y="17945100"/>
          <a:ext cx="257983" cy="172800"/>
        </a:xfrm>
        <a:prstGeom prst="rect">
          <a:avLst/>
        </a:prstGeom>
      </xdr:spPr>
    </xdr:pic>
    <xdr:clientData/>
  </xdr:twoCellAnchor>
  <xdr:twoCellAnchor editAs="oneCell">
    <xdr:from>
      <xdr:col>10</xdr:col>
      <xdr:colOff>1019175</xdr:colOff>
      <xdr:row>120</xdr:row>
      <xdr:rowOff>47625</xdr:rowOff>
    </xdr:from>
    <xdr:to>
      <xdr:col>10</xdr:col>
      <xdr:colOff>1277158</xdr:colOff>
      <xdr:row>121</xdr:row>
      <xdr:rowOff>58500</xdr:rowOff>
    </xdr:to>
    <xdr:pic>
      <xdr:nvPicPr>
        <xdr:cNvPr id="116" name="Picture 1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8200" y="19602450"/>
          <a:ext cx="257983" cy="172800"/>
        </a:xfrm>
        <a:prstGeom prst="rect">
          <a:avLst/>
        </a:prstGeom>
      </xdr:spPr>
    </xdr:pic>
    <xdr:clientData/>
  </xdr:twoCellAnchor>
  <xdr:twoCellAnchor editAs="oneCell">
    <xdr:from>
      <xdr:col>12</xdr:col>
      <xdr:colOff>1000125</xdr:colOff>
      <xdr:row>120</xdr:row>
      <xdr:rowOff>47625</xdr:rowOff>
    </xdr:from>
    <xdr:to>
      <xdr:col>12</xdr:col>
      <xdr:colOff>1258108</xdr:colOff>
      <xdr:row>121</xdr:row>
      <xdr:rowOff>58500</xdr:rowOff>
    </xdr:to>
    <xdr:pic>
      <xdr:nvPicPr>
        <xdr:cNvPr id="117" name="Picture 1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3625" y="19602450"/>
          <a:ext cx="257983" cy="172800"/>
        </a:xfrm>
        <a:prstGeom prst="rect">
          <a:avLst/>
        </a:prstGeom>
      </xdr:spPr>
    </xdr:pic>
    <xdr:clientData/>
  </xdr:twoCellAnchor>
  <xdr:twoCellAnchor editAs="oneCell">
    <xdr:from>
      <xdr:col>8</xdr:col>
      <xdr:colOff>0</xdr:colOff>
      <xdr:row>115</xdr:row>
      <xdr:rowOff>0</xdr:rowOff>
    </xdr:from>
    <xdr:to>
      <xdr:col>9</xdr:col>
      <xdr:colOff>138975</xdr:colOff>
      <xdr:row>116</xdr:row>
      <xdr:rowOff>162075</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8716625"/>
          <a:ext cx="720000" cy="324000"/>
        </a:xfrm>
        <a:prstGeom prst="rect">
          <a:avLst/>
        </a:prstGeom>
      </xdr:spPr>
    </xdr:pic>
    <xdr:clientData/>
  </xdr:twoCellAnchor>
  <xdr:twoCellAnchor editAs="oneCell">
    <xdr:from>
      <xdr:col>8</xdr:col>
      <xdr:colOff>0</xdr:colOff>
      <xdr:row>118</xdr:row>
      <xdr:rowOff>0</xdr:rowOff>
    </xdr:from>
    <xdr:to>
      <xdr:col>9</xdr:col>
      <xdr:colOff>138975</xdr:colOff>
      <xdr:row>119</xdr:row>
      <xdr:rowOff>162075</xdr:rowOff>
    </xdr:to>
    <xdr:pic>
      <xdr:nvPicPr>
        <xdr:cNvPr id="56" name="Picture 5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211925"/>
          <a:ext cx="720000" cy="324000"/>
        </a:xfrm>
        <a:prstGeom prst="rect">
          <a:avLst/>
        </a:prstGeom>
      </xdr:spPr>
    </xdr:pic>
    <xdr:clientData/>
  </xdr:twoCellAnchor>
  <xdr:twoCellAnchor editAs="oneCell">
    <xdr:from>
      <xdr:col>6</xdr:col>
      <xdr:colOff>0</xdr:colOff>
      <xdr:row>125</xdr:row>
      <xdr:rowOff>0</xdr:rowOff>
    </xdr:from>
    <xdr:to>
      <xdr:col>6</xdr:col>
      <xdr:colOff>360000</xdr:colOff>
      <xdr:row>126</xdr:row>
      <xdr:rowOff>10875</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4500" y="20373975"/>
          <a:ext cx="360000" cy="172800"/>
        </a:xfrm>
        <a:prstGeom prst="rect">
          <a:avLst/>
        </a:prstGeom>
      </xdr:spPr>
    </xdr:pic>
    <xdr:clientData/>
  </xdr:twoCellAnchor>
  <xdr:twoCellAnchor editAs="oneCell">
    <xdr:from>
      <xdr:col>10</xdr:col>
      <xdr:colOff>1019175</xdr:colOff>
      <xdr:row>73</xdr:row>
      <xdr:rowOff>0</xdr:rowOff>
    </xdr:from>
    <xdr:to>
      <xdr:col>10</xdr:col>
      <xdr:colOff>1276215</xdr:colOff>
      <xdr:row>74</xdr:row>
      <xdr:rowOff>140475</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48200" y="11763375"/>
          <a:ext cx="257040" cy="302400"/>
        </a:xfrm>
        <a:prstGeom prst="rect">
          <a:avLst/>
        </a:prstGeom>
      </xdr:spPr>
    </xdr:pic>
    <xdr:clientData/>
  </xdr:twoCellAnchor>
  <xdr:twoCellAnchor editAs="oneCell">
    <xdr:from>
      <xdr:col>10</xdr:col>
      <xdr:colOff>1028700</xdr:colOff>
      <xdr:row>75</xdr:row>
      <xdr:rowOff>19050</xdr:rowOff>
    </xdr:from>
    <xdr:to>
      <xdr:col>10</xdr:col>
      <xdr:colOff>1270956</xdr:colOff>
      <xdr:row>77</xdr:row>
      <xdr:rowOff>48000</xdr:rowOff>
    </xdr:to>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57725" y="12115800"/>
          <a:ext cx="242256" cy="352800"/>
        </a:xfrm>
        <a:prstGeom prst="rect">
          <a:avLst/>
        </a:prstGeom>
      </xdr:spPr>
    </xdr:pic>
    <xdr:clientData/>
  </xdr:twoCellAnchor>
  <xdr:twoCellAnchor editAs="oneCell">
    <xdr:from>
      <xdr:col>12</xdr:col>
      <xdr:colOff>1000125</xdr:colOff>
      <xdr:row>75</xdr:row>
      <xdr:rowOff>28575</xdr:rowOff>
    </xdr:from>
    <xdr:to>
      <xdr:col>12</xdr:col>
      <xdr:colOff>1242381</xdr:colOff>
      <xdr:row>77</xdr:row>
      <xdr:rowOff>57525</xdr:rowOff>
    </xdr:to>
    <xdr:pic>
      <xdr:nvPicPr>
        <xdr:cNvPr id="65" name="Picture 6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43625" y="12125325"/>
          <a:ext cx="242256" cy="352800"/>
        </a:xfrm>
        <a:prstGeom prst="rect">
          <a:avLst/>
        </a:prstGeom>
      </xdr:spPr>
    </xdr:pic>
    <xdr:clientData/>
  </xdr:twoCellAnchor>
  <xdr:twoCellAnchor editAs="oneCell">
    <xdr:from>
      <xdr:col>12</xdr:col>
      <xdr:colOff>914400</xdr:colOff>
      <xdr:row>86</xdr:row>
      <xdr:rowOff>9525</xdr:rowOff>
    </xdr:from>
    <xdr:to>
      <xdr:col>12</xdr:col>
      <xdr:colOff>1198800</xdr:colOff>
      <xdr:row>87</xdr:row>
      <xdr:rowOff>132000</xdr:rowOff>
    </xdr:to>
    <xdr:pic>
      <xdr:nvPicPr>
        <xdr:cNvPr id="54" name="Picture 5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57900" y="13935075"/>
          <a:ext cx="284400" cy="284400"/>
        </a:xfrm>
        <a:prstGeom prst="rect">
          <a:avLst/>
        </a:prstGeom>
      </xdr:spPr>
    </xdr:pic>
    <xdr:clientData/>
  </xdr:twoCellAnchor>
  <xdr:twoCellAnchor editAs="oneCell">
    <xdr:from>
      <xdr:col>12</xdr:col>
      <xdr:colOff>914400</xdr:colOff>
      <xdr:row>89</xdr:row>
      <xdr:rowOff>9525</xdr:rowOff>
    </xdr:from>
    <xdr:to>
      <xdr:col>12</xdr:col>
      <xdr:colOff>1198800</xdr:colOff>
      <xdr:row>90</xdr:row>
      <xdr:rowOff>132000</xdr:rowOff>
    </xdr:to>
    <xdr:pic>
      <xdr:nvPicPr>
        <xdr:cNvPr id="59" name="Picture 5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57900" y="14430375"/>
          <a:ext cx="284400" cy="284400"/>
        </a:xfrm>
        <a:prstGeom prst="rect">
          <a:avLst/>
        </a:prstGeom>
      </xdr:spPr>
    </xdr:pic>
    <xdr:clientData/>
  </xdr:twoCellAnchor>
  <xdr:twoCellAnchor editAs="oneCell">
    <xdr:from>
      <xdr:col>12</xdr:col>
      <xdr:colOff>914400</xdr:colOff>
      <xdr:row>92</xdr:row>
      <xdr:rowOff>9525</xdr:rowOff>
    </xdr:from>
    <xdr:to>
      <xdr:col>12</xdr:col>
      <xdr:colOff>1198800</xdr:colOff>
      <xdr:row>93</xdr:row>
      <xdr:rowOff>132000</xdr:rowOff>
    </xdr:to>
    <xdr:pic>
      <xdr:nvPicPr>
        <xdr:cNvPr id="62" name="Picture 6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57900" y="14925675"/>
          <a:ext cx="284400" cy="284400"/>
        </a:xfrm>
        <a:prstGeom prst="rect">
          <a:avLst/>
        </a:prstGeom>
      </xdr:spPr>
    </xdr:pic>
    <xdr:clientData/>
  </xdr:twoCellAnchor>
  <xdr:twoCellAnchor editAs="oneCell">
    <xdr:from>
      <xdr:col>12</xdr:col>
      <xdr:colOff>962026</xdr:colOff>
      <xdr:row>28</xdr:row>
      <xdr:rowOff>28576</xdr:rowOff>
    </xdr:from>
    <xdr:to>
      <xdr:col>12</xdr:col>
      <xdr:colOff>1159103</xdr:colOff>
      <xdr:row>29</xdr:row>
      <xdr:rowOff>86251</xdr:rowOff>
    </xdr:to>
    <xdr:pic>
      <xdr:nvPicPr>
        <xdr:cNvPr id="9" name="Picture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05526" y="4333876"/>
          <a:ext cx="197077" cy="219600"/>
        </a:xfrm>
        <a:prstGeom prst="rect">
          <a:avLst/>
        </a:prstGeom>
      </xdr:spPr>
    </xdr:pic>
    <xdr:clientData/>
  </xdr:twoCellAnchor>
  <xdr:twoCellAnchor editAs="oneCell">
    <xdr:from>
      <xdr:col>10</xdr:col>
      <xdr:colOff>952500</xdr:colOff>
      <xdr:row>34</xdr:row>
      <xdr:rowOff>28575</xdr:rowOff>
    </xdr:from>
    <xdr:to>
      <xdr:col>10</xdr:col>
      <xdr:colOff>1149577</xdr:colOff>
      <xdr:row>35</xdr:row>
      <xdr:rowOff>86250</xdr:rowOff>
    </xdr:to>
    <xdr:pic>
      <xdr:nvPicPr>
        <xdr:cNvPr id="63" name="Picture 6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81525" y="5314950"/>
          <a:ext cx="197077" cy="219600"/>
        </a:xfrm>
        <a:prstGeom prst="rect">
          <a:avLst/>
        </a:prstGeom>
      </xdr:spPr>
    </xdr:pic>
    <xdr:clientData/>
  </xdr:twoCellAnchor>
  <xdr:twoCellAnchor editAs="oneCell">
    <xdr:from>
      <xdr:col>10</xdr:col>
      <xdr:colOff>962025</xdr:colOff>
      <xdr:row>44</xdr:row>
      <xdr:rowOff>28575</xdr:rowOff>
    </xdr:from>
    <xdr:to>
      <xdr:col>10</xdr:col>
      <xdr:colOff>1159102</xdr:colOff>
      <xdr:row>45</xdr:row>
      <xdr:rowOff>86250</xdr:rowOff>
    </xdr:to>
    <xdr:pic>
      <xdr:nvPicPr>
        <xdr:cNvPr id="66" name="Picture 6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91050" y="6981825"/>
          <a:ext cx="197077" cy="219600"/>
        </a:xfrm>
        <a:prstGeom prst="rect">
          <a:avLst/>
        </a:prstGeom>
      </xdr:spPr>
    </xdr:pic>
    <xdr:clientData/>
  </xdr:twoCellAnchor>
  <xdr:twoCellAnchor editAs="oneCell">
    <xdr:from>
      <xdr:col>7</xdr:col>
      <xdr:colOff>0</xdr:colOff>
      <xdr:row>22</xdr:row>
      <xdr:rowOff>19050</xdr:rowOff>
    </xdr:from>
    <xdr:to>
      <xdr:col>7</xdr:col>
      <xdr:colOff>176690</xdr:colOff>
      <xdr:row>23</xdr:row>
      <xdr:rowOff>76725</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47950" y="3343275"/>
          <a:ext cx="176690" cy="219600"/>
        </a:xfrm>
        <a:prstGeom prst="rect">
          <a:avLst/>
        </a:prstGeom>
      </xdr:spPr>
    </xdr:pic>
    <xdr:clientData/>
  </xdr:twoCellAnchor>
  <xdr:twoCellAnchor editAs="oneCell">
    <xdr:from>
      <xdr:col>7</xdr:col>
      <xdr:colOff>0</xdr:colOff>
      <xdr:row>38</xdr:row>
      <xdr:rowOff>0</xdr:rowOff>
    </xdr:from>
    <xdr:to>
      <xdr:col>7</xdr:col>
      <xdr:colOff>176690</xdr:colOff>
      <xdr:row>39</xdr:row>
      <xdr:rowOff>57675</xdr:rowOff>
    </xdr:to>
    <xdr:pic>
      <xdr:nvPicPr>
        <xdr:cNvPr id="67" name="Picture 6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47950" y="5953125"/>
          <a:ext cx="176690" cy="219600"/>
        </a:xfrm>
        <a:prstGeom prst="rect">
          <a:avLst/>
        </a:prstGeom>
      </xdr:spPr>
    </xdr:pic>
    <xdr:clientData/>
  </xdr:twoCellAnchor>
  <xdr:twoCellAnchor editAs="oneCell">
    <xdr:from>
      <xdr:col>13</xdr:col>
      <xdr:colOff>0</xdr:colOff>
      <xdr:row>38</xdr:row>
      <xdr:rowOff>0</xdr:rowOff>
    </xdr:from>
    <xdr:to>
      <xdr:col>13</xdr:col>
      <xdr:colOff>176690</xdr:colOff>
      <xdr:row>39</xdr:row>
      <xdr:rowOff>57675</xdr:rowOff>
    </xdr:to>
    <xdr:pic>
      <xdr:nvPicPr>
        <xdr:cNvPr id="68" name="Picture 6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38900" y="5953125"/>
          <a:ext cx="176690" cy="219600"/>
        </a:xfrm>
        <a:prstGeom prst="rect">
          <a:avLst/>
        </a:prstGeom>
      </xdr:spPr>
    </xdr:pic>
    <xdr:clientData/>
  </xdr:twoCellAnchor>
  <xdr:twoCellAnchor editAs="oneCell">
    <xdr:from>
      <xdr:col>7</xdr:col>
      <xdr:colOff>0</xdr:colOff>
      <xdr:row>57</xdr:row>
      <xdr:rowOff>0</xdr:rowOff>
    </xdr:from>
    <xdr:to>
      <xdr:col>7</xdr:col>
      <xdr:colOff>176690</xdr:colOff>
      <xdr:row>58</xdr:row>
      <xdr:rowOff>57675</xdr:rowOff>
    </xdr:to>
    <xdr:pic>
      <xdr:nvPicPr>
        <xdr:cNvPr id="70" name="Picture 6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47950" y="9105900"/>
          <a:ext cx="176690" cy="219600"/>
        </a:xfrm>
        <a:prstGeom prst="rect">
          <a:avLst/>
        </a:prstGeom>
      </xdr:spPr>
    </xdr:pic>
    <xdr:clientData/>
  </xdr:twoCellAnchor>
  <xdr:twoCellAnchor editAs="oneCell">
    <xdr:from>
      <xdr:col>7</xdr:col>
      <xdr:colOff>0</xdr:colOff>
      <xdr:row>60</xdr:row>
      <xdr:rowOff>0</xdr:rowOff>
    </xdr:from>
    <xdr:to>
      <xdr:col>7</xdr:col>
      <xdr:colOff>176690</xdr:colOff>
      <xdr:row>61</xdr:row>
      <xdr:rowOff>57675</xdr:rowOff>
    </xdr:to>
    <xdr:pic>
      <xdr:nvPicPr>
        <xdr:cNvPr id="71" name="Picture 7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47950" y="9601200"/>
          <a:ext cx="176690" cy="219600"/>
        </a:xfrm>
        <a:prstGeom prst="rect">
          <a:avLst/>
        </a:prstGeom>
      </xdr:spPr>
    </xdr:pic>
    <xdr:clientData/>
  </xdr:twoCellAnchor>
  <xdr:twoCellAnchor editAs="oneCell">
    <xdr:from>
      <xdr:col>7</xdr:col>
      <xdr:colOff>0</xdr:colOff>
      <xdr:row>63</xdr:row>
      <xdr:rowOff>0</xdr:rowOff>
    </xdr:from>
    <xdr:to>
      <xdr:col>7</xdr:col>
      <xdr:colOff>176690</xdr:colOff>
      <xdr:row>64</xdr:row>
      <xdr:rowOff>57675</xdr:rowOff>
    </xdr:to>
    <xdr:pic>
      <xdr:nvPicPr>
        <xdr:cNvPr id="72" name="Picture 7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47950" y="10096500"/>
          <a:ext cx="176690" cy="219600"/>
        </a:xfrm>
        <a:prstGeom prst="rect">
          <a:avLst/>
        </a:prstGeom>
      </xdr:spPr>
    </xdr:pic>
    <xdr:clientData/>
  </xdr:twoCellAnchor>
  <xdr:twoCellAnchor editAs="oneCell">
    <xdr:from>
      <xdr:col>11</xdr:col>
      <xdr:colOff>9525</xdr:colOff>
      <xdr:row>25</xdr:row>
      <xdr:rowOff>19050</xdr:rowOff>
    </xdr:from>
    <xdr:to>
      <xdr:col>11</xdr:col>
      <xdr:colOff>184207</xdr:colOff>
      <xdr:row>26</xdr:row>
      <xdr:rowOff>76725</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53000" y="3829050"/>
          <a:ext cx="174682" cy="219600"/>
        </a:xfrm>
        <a:prstGeom prst="rect">
          <a:avLst/>
        </a:prstGeom>
      </xdr:spPr>
    </xdr:pic>
    <xdr:clientData/>
  </xdr:twoCellAnchor>
  <xdr:twoCellAnchor editAs="oneCell">
    <xdr:from>
      <xdr:col>3</xdr:col>
      <xdr:colOff>38100</xdr:colOff>
      <xdr:row>48</xdr:row>
      <xdr:rowOff>28575</xdr:rowOff>
    </xdr:from>
    <xdr:to>
      <xdr:col>4</xdr:col>
      <xdr:colOff>12757</xdr:colOff>
      <xdr:row>49</xdr:row>
      <xdr:rowOff>86250</xdr:rowOff>
    </xdr:to>
    <xdr:pic>
      <xdr:nvPicPr>
        <xdr:cNvPr id="73" name="Picture 7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0075" y="7639050"/>
          <a:ext cx="174682" cy="219600"/>
        </a:xfrm>
        <a:prstGeom prst="rect">
          <a:avLst/>
        </a:prstGeom>
      </xdr:spPr>
    </xdr:pic>
    <xdr:clientData/>
  </xdr:twoCellAnchor>
  <xdr:twoCellAnchor editAs="oneCell">
    <xdr:from>
      <xdr:col>13</xdr:col>
      <xdr:colOff>0</xdr:colOff>
      <xdr:row>79</xdr:row>
      <xdr:rowOff>0</xdr:rowOff>
    </xdr:from>
    <xdr:to>
      <xdr:col>13</xdr:col>
      <xdr:colOff>174682</xdr:colOff>
      <xdr:row>80</xdr:row>
      <xdr:rowOff>57675</xdr:rowOff>
    </xdr:to>
    <xdr:pic>
      <xdr:nvPicPr>
        <xdr:cNvPr id="75" name="Picture 7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38900" y="12753975"/>
          <a:ext cx="174682" cy="219600"/>
        </a:xfrm>
        <a:prstGeom prst="rect">
          <a:avLst/>
        </a:prstGeom>
      </xdr:spPr>
    </xdr:pic>
    <xdr:clientData/>
  </xdr:twoCellAnchor>
  <xdr:twoCellAnchor editAs="oneCell">
    <xdr:from>
      <xdr:col>13</xdr:col>
      <xdr:colOff>0</xdr:colOff>
      <xdr:row>83</xdr:row>
      <xdr:rowOff>0</xdr:rowOff>
    </xdr:from>
    <xdr:to>
      <xdr:col>13</xdr:col>
      <xdr:colOff>174682</xdr:colOff>
      <xdr:row>84</xdr:row>
      <xdr:rowOff>57675</xdr:rowOff>
    </xdr:to>
    <xdr:pic>
      <xdr:nvPicPr>
        <xdr:cNvPr id="76" name="Picture 7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38900" y="13420725"/>
          <a:ext cx="174682" cy="219600"/>
        </a:xfrm>
        <a:prstGeom prst="rect">
          <a:avLst/>
        </a:prstGeom>
      </xdr:spPr>
    </xdr:pic>
    <xdr:clientData/>
  </xdr:twoCellAnchor>
  <xdr:twoCellAnchor editAs="oneCell">
    <xdr:from>
      <xdr:col>12</xdr:col>
      <xdr:colOff>876300</xdr:colOff>
      <xdr:row>43</xdr:row>
      <xdr:rowOff>57150</xdr:rowOff>
    </xdr:from>
    <xdr:to>
      <xdr:col>12</xdr:col>
      <xdr:colOff>1228877</xdr:colOff>
      <xdr:row>45</xdr:row>
      <xdr:rowOff>93300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19800" y="6848475"/>
          <a:ext cx="352577" cy="360000"/>
        </a:xfrm>
        <a:prstGeom prst="rect">
          <a:avLst/>
        </a:prstGeom>
      </xdr:spPr>
    </xdr:pic>
    <xdr:clientData/>
  </xdr:twoCellAnchor>
  <xdr:twoCellAnchor editAs="oneCell">
    <xdr:from>
      <xdr:col>11</xdr:col>
      <xdr:colOff>0</xdr:colOff>
      <xdr:row>49</xdr:row>
      <xdr:rowOff>19050</xdr:rowOff>
    </xdr:from>
    <xdr:to>
      <xdr:col>11</xdr:col>
      <xdr:colOff>185342</xdr:colOff>
      <xdr:row>50</xdr:row>
      <xdr:rowOff>159525</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43475" y="7791450"/>
          <a:ext cx="185342" cy="302400"/>
        </a:xfrm>
        <a:prstGeom prst="rect">
          <a:avLst/>
        </a:prstGeom>
      </xdr:spPr>
    </xdr:pic>
    <xdr:clientData/>
  </xdr:twoCellAnchor>
  <xdr:twoCellAnchor editAs="oneCell">
    <xdr:from>
      <xdr:col>11</xdr:col>
      <xdr:colOff>0</xdr:colOff>
      <xdr:row>66</xdr:row>
      <xdr:rowOff>0</xdr:rowOff>
    </xdr:from>
    <xdr:to>
      <xdr:col>11</xdr:col>
      <xdr:colOff>185342</xdr:colOff>
      <xdr:row>67</xdr:row>
      <xdr:rowOff>140475</xdr:rowOff>
    </xdr:to>
    <xdr:pic>
      <xdr:nvPicPr>
        <xdr:cNvPr id="77" name="Picture 7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43475" y="10601325"/>
          <a:ext cx="185342" cy="302400"/>
        </a:xfrm>
        <a:prstGeom prst="rect">
          <a:avLst/>
        </a:prstGeom>
      </xdr:spPr>
    </xdr:pic>
    <xdr:clientData/>
  </xdr:twoCellAnchor>
  <xdr:twoCellAnchor editAs="oneCell">
    <xdr:from>
      <xdr:col>11</xdr:col>
      <xdr:colOff>0</xdr:colOff>
      <xdr:row>57</xdr:row>
      <xdr:rowOff>19050</xdr:rowOff>
    </xdr:from>
    <xdr:to>
      <xdr:col>11</xdr:col>
      <xdr:colOff>177737</xdr:colOff>
      <xdr:row>58</xdr:row>
      <xdr:rowOff>87525</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943475" y="9124950"/>
          <a:ext cx="177737" cy="230400"/>
        </a:xfrm>
        <a:prstGeom prst="rect">
          <a:avLst/>
        </a:prstGeom>
      </xdr:spPr>
    </xdr:pic>
    <xdr:clientData/>
  </xdr:twoCellAnchor>
  <xdr:twoCellAnchor editAs="oneCell">
    <xdr:from>
      <xdr:col>13</xdr:col>
      <xdr:colOff>0</xdr:colOff>
      <xdr:row>57</xdr:row>
      <xdr:rowOff>0</xdr:rowOff>
    </xdr:from>
    <xdr:to>
      <xdr:col>13</xdr:col>
      <xdr:colOff>177737</xdr:colOff>
      <xdr:row>58</xdr:row>
      <xdr:rowOff>68475</xdr:rowOff>
    </xdr:to>
    <xdr:pic>
      <xdr:nvPicPr>
        <xdr:cNvPr id="83" name="Picture 8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38900" y="9105900"/>
          <a:ext cx="177737" cy="230400"/>
        </a:xfrm>
        <a:prstGeom prst="rect">
          <a:avLst/>
        </a:prstGeom>
      </xdr:spPr>
    </xdr:pic>
    <xdr:clientData/>
  </xdr:twoCellAnchor>
  <xdr:twoCellAnchor editAs="oneCell">
    <xdr:from>
      <xdr:col>10</xdr:col>
      <xdr:colOff>990600</xdr:colOff>
      <xdr:row>46</xdr:row>
      <xdr:rowOff>57151</xdr:rowOff>
    </xdr:from>
    <xdr:to>
      <xdr:col>10</xdr:col>
      <xdr:colOff>1239831</xdr:colOff>
      <xdr:row>47</xdr:row>
      <xdr:rowOff>147226</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9625" y="7343776"/>
          <a:ext cx="249231" cy="252000"/>
        </a:xfrm>
        <a:prstGeom prst="rect">
          <a:avLst/>
        </a:prstGeom>
      </xdr:spPr>
    </xdr:pic>
    <xdr:clientData/>
  </xdr:twoCellAnchor>
  <xdr:twoCellAnchor editAs="oneCell">
    <xdr:from>
      <xdr:col>12</xdr:col>
      <xdr:colOff>971550</xdr:colOff>
      <xdr:row>46</xdr:row>
      <xdr:rowOff>57150</xdr:rowOff>
    </xdr:from>
    <xdr:to>
      <xdr:col>12</xdr:col>
      <xdr:colOff>1220781</xdr:colOff>
      <xdr:row>47</xdr:row>
      <xdr:rowOff>147225</xdr:rowOff>
    </xdr:to>
    <xdr:pic>
      <xdr:nvPicPr>
        <xdr:cNvPr id="84" name="Picture 8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5050" y="7343775"/>
          <a:ext cx="249231" cy="25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2</xdr:col>
      <xdr:colOff>163657</xdr:colOff>
      <xdr:row>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363682"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2</xdr:col>
      <xdr:colOff>167837</xdr:colOff>
      <xdr:row>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367862"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85725</xdr:colOff>
      <xdr:row>5</xdr:row>
      <xdr:rowOff>85725</xdr:rowOff>
    </xdr:from>
    <xdr:to>
      <xdr:col>5</xdr:col>
      <xdr:colOff>104625</xdr:colOff>
      <xdr:row>5</xdr:row>
      <xdr:rowOff>733725</xdr:rowOff>
    </xdr:to>
    <xdr:grpSp>
      <xdr:nvGrpSpPr>
        <xdr:cNvPr id="2" name="Group 39"/>
        <xdr:cNvGrpSpPr>
          <a:grpSpLocks noChangeAspect="1"/>
        </xdr:cNvGrpSpPr>
      </xdr:nvGrpSpPr>
      <xdr:grpSpPr bwMode="auto">
        <a:xfrm>
          <a:off x="1533525" y="904875"/>
          <a:ext cx="590400" cy="648000"/>
          <a:chOff x="1571625" y="533400"/>
          <a:chExt cx="847725" cy="923925"/>
        </a:xfrm>
      </xdr:grpSpPr>
      <xdr:sp macro="" textlink="">
        <xdr:nvSpPr>
          <xdr:cNvPr id="3" name="Oval 40"/>
          <xdr:cNvSpPr>
            <a:spLocks noChangeArrowheads="1"/>
          </xdr:cNvSpPr>
        </xdr:nvSpPr>
        <xdr:spPr bwMode="auto">
          <a:xfrm>
            <a:off x="1571625" y="533400"/>
            <a:ext cx="847725" cy="923925"/>
          </a:xfrm>
          <a:prstGeom prst="ellipse">
            <a:avLst/>
          </a:prstGeom>
          <a:solidFill>
            <a:srgbClr val="C0C0C0"/>
          </a:solidFill>
          <a:ln w="19050">
            <a:solidFill>
              <a:srgbClr val="000000"/>
            </a:solidFill>
            <a:round/>
            <a:headEnd/>
            <a:tailEnd/>
          </a:ln>
        </xdr:spPr>
      </xdr:sp>
      <xdr:sp macro="" textlink="">
        <xdr:nvSpPr>
          <xdr:cNvPr id="4" name="Oval 1"/>
          <xdr:cNvSpPr>
            <a:spLocks noChangeArrowheads="1"/>
          </xdr:cNvSpPr>
        </xdr:nvSpPr>
        <xdr:spPr bwMode="auto">
          <a:xfrm>
            <a:off x="1933575" y="923925"/>
            <a:ext cx="133350" cy="142875"/>
          </a:xfrm>
          <a:prstGeom prst="ellipse">
            <a:avLst/>
          </a:prstGeom>
          <a:solidFill>
            <a:srgbClr val="FFFFFF"/>
          </a:solidFill>
          <a:ln w="9525">
            <a:solidFill>
              <a:srgbClr val="000000"/>
            </a:solidFill>
            <a:round/>
            <a:headEnd/>
            <a:tailEnd/>
          </a:ln>
        </xdr:spPr>
      </xdr:sp>
    </xdr:grpSp>
    <xdr:clientData/>
  </xdr:twoCellAnchor>
  <xdr:twoCellAnchor>
    <xdr:from>
      <xdr:col>10</xdr:col>
      <xdr:colOff>85725</xdr:colOff>
      <xdr:row>5</xdr:row>
      <xdr:rowOff>85725</xdr:rowOff>
    </xdr:from>
    <xdr:to>
      <xdr:col>13</xdr:col>
      <xdr:colOff>104625</xdr:colOff>
      <xdr:row>5</xdr:row>
      <xdr:rowOff>733725</xdr:rowOff>
    </xdr:to>
    <xdr:grpSp>
      <xdr:nvGrpSpPr>
        <xdr:cNvPr id="5" name="Group 42"/>
        <xdr:cNvGrpSpPr>
          <a:grpSpLocks noChangeAspect="1"/>
        </xdr:cNvGrpSpPr>
      </xdr:nvGrpSpPr>
      <xdr:grpSpPr bwMode="auto">
        <a:xfrm>
          <a:off x="3057525" y="904875"/>
          <a:ext cx="590400" cy="648000"/>
          <a:chOff x="4391025" y="533400"/>
          <a:chExt cx="847725" cy="923925"/>
        </a:xfrm>
      </xdr:grpSpPr>
      <xdr:sp macro="" textlink="">
        <xdr:nvSpPr>
          <xdr:cNvPr id="6" name="Oval 62"/>
          <xdr:cNvSpPr>
            <a:spLocks noChangeArrowheads="1"/>
          </xdr:cNvSpPr>
        </xdr:nvSpPr>
        <xdr:spPr bwMode="auto">
          <a:xfrm>
            <a:off x="4391025" y="533400"/>
            <a:ext cx="847725" cy="923925"/>
          </a:xfrm>
          <a:prstGeom prst="ellipse">
            <a:avLst/>
          </a:prstGeom>
          <a:solidFill>
            <a:srgbClr val="C0C0C0"/>
          </a:solidFill>
          <a:ln w="19050">
            <a:solidFill>
              <a:srgbClr val="000000"/>
            </a:solidFill>
            <a:round/>
            <a:headEnd/>
            <a:tailEnd/>
          </a:ln>
        </xdr:spPr>
      </xdr:sp>
      <xdr:sp macro="" textlink="">
        <xdr:nvSpPr>
          <xdr:cNvPr id="7" name="Oval 67"/>
          <xdr:cNvSpPr>
            <a:spLocks noChangeArrowheads="1"/>
          </xdr:cNvSpPr>
        </xdr:nvSpPr>
        <xdr:spPr bwMode="auto">
          <a:xfrm>
            <a:off x="4752975" y="923925"/>
            <a:ext cx="133350" cy="142875"/>
          </a:xfrm>
          <a:prstGeom prst="ellipse">
            <a:avLst/>
          </a:prstGeom>
          <a:solidFill>
            <a:srgbClr val="FFFFFF"/>
          </a:solidFill>
          <a:ln w="9525">
            <a:solidFill>
              <a:srgbClr val="000000"/>
            </a:solidFill>
            <a:round/>
            <a:headEnd/>
            <a:tailEnd/>
          </a:ln>
        </xdr:spPr>
      </xdr:sp>
      <xdr:sp macro="" textlink="">
        <xdr:nvSpPr>
          <xdr:cNvPr id="8" name="Oval 68"/>
          <xdr:cNvSpPr>
            <a:spLocks noChangeArrowheads="1"/>
          </xdr:cNvSpPr>
        </xdr:nvSpPr>
        <xdr:spPr bwMode="auto">
          <a:xfrm>
            <a:off x="4572000" y="923925"/>
            <a:ext cx="133350" cy="142875"/>
          </a:xfrm>
          <a:prstGeom prst="ellipse">
            <a:avLst/>
          </a:prstGeom>
          <a:solidFill>
            <a:srgbClr val="0000FF"/>
          </a:solidFill>
          <a:ln w="9525">
            <a:solidFill>
              <a:srgbClr val="000000"/>
            </a:solidFill>
            <a:round/>
            <a:headEnd/>
            <a:tailEnd/>
          </a:ln>
        </xdr:spPr>
      </xdr:sp>
      <xdr:sp macro="" textlink="">
        <xdr:nvSpPr>
          <xdr:cNvPr id="9" name="Oval 69"/>
          <xdr:cNvSpPr>
            <a:spLocks noChangeArrowheads="1"/>
          </xdr:cNvSpPr>
        </xdr:nvSpPr>
        <xdr:spPr bwMode="auto">
          <a:xfrm>
            <a:off x="4943475" y="923925"/>
            <a:ext cx="133350" cy="142875"/>
          </a:xfrm>
          <a:prstGeom prst="ellipse">
            <a:avLst/>
          </a:prstGeom>
          <a:solidFill>
            <a:srgbClr val="0000FF"/>
          </a:solidFill>
          <a:ln w="9525">
            <a:solidFill>
              <a:srgbClr val="000000"/>
            </a:solidFill>
            <a:round/>
            <a:headEnd/>
            <a:tailEnd/>
          </a:ln>
        </xdr:spPr>
      </xdr:sp>
    </xdr:grpSp>
    <xdr:clientData/>
  </xdr:twoCellAnchor>
  <xdr:twoCellAnchor>
    <xdr:from>
      <xdr:col>14</xdr:col>
      <xdr:colOff>85725</xdr:colOff>
      <xdr:row>5</xdr:row>
      <xdr:rowOff>85725</xdr:rowOff>
    </xdr:from>
    <xdr:to>
      <xdr:col>17</xdr:col>
      <xdr:colOff>104625</xdr:colOff>
      <xdr:row>5</xdr:row>
      <xdr:rowOff>733725</xdr:rowOff>
    </xdr:to>
    <xdr:grpSp>
      <xdr:nvGrpSpPr>
        <xdr:cNvPr id="10" name="Group 47"/>
        <xdr:cNvGrpSpPr>
          <a:grpSpLocks noChangeAspect="1"/>
        </xdr:cNvGrpSpPr>
      </xdr:nvGrpSpPr>
      <xdr:grpSpPr bwMode="auto">
        <a:xfrm>
          <a:off x="3819525" y="904875"/>
          <a:ext cx="590400" cy="648000"/>
          <a:chOff x="5810250" y="523875"/>
          <a:chExt cx="847725" cy="923925"/>
        </a:xfrm>
      </xdr:grpSpPr>
      <xdr:sp macro="" textlink="">
        <xdr:nvSpPr>
          <xdr:cNvPr id="11" name="Oval 63"/>
          <xdr:cNvSpPr>
            <a:spLocks noChangeArrowheads="1"/>
          </xdr:cNvSpPr>
        </xdr:nvSpPr>
        <xdr:spPr bwMode="auto">
          <a:xfrm>
            <a:off x="5810250" y="523875"/>
            <a:ext cx="847725" cy="923925"/>
          </a:xfrm>
          <a:prstGeom prst="ellipse">
            <a:avLst/>
          </a:prstGeom>
          <a:solidFill>
            <a:srgbClr val="C0C0C0"/>
          </a:solidFill>
          <a:ln w="19050">
            <a:solidFill>
              <a:srgbClr val="000000"/>
            </a:solidFill>
            <a:round/>
            <a:headEnd/>
            <a:tailEnd/>
          </a:ln>
        </xdr:spPr>
      </xdr:sp>
      <xdr:sp macro="" textlink="">
        <xdr:nvSpPr>
          <xdr:cNvPr id="12" name="Oval 66"/>
          <xdr:cNvSpPr>
            <a:spLocks noChangeArrowheads="1"/>
          </xdr:cNvSpPr>
        </xdr:nvSpPr>
        <xdr:spPr bwMode="auto">
          <a:xfrm>
            <a:off x="6162675" y="914400"/>
            <a:ext cx="133350" cy="142875"/>
          </a:xfrm>
          <a:prstGeom prst="ellipse">
            <a:avLst/>
          </a:prstGeom>
          <a:solidFill>
            <a:srgbClr val="FFFFFF"/>
          </a:solidFill>
          <a:ln w="9525">
            <a:solidFill>
              <a:srgbClr val="000000"/>
            </a:solidFill>
            <a:round/>
            <a:headEnd/>
            <a:tailEnd/>
          </a:ln>
        </xdr:spPr>
      </xdr:sp>
      <xdr:sp macro="" textlink="">
        <xdr:nvSpPr>
          <xdr:cNvPr id="13" name="Oval 70"/>
          <xdr:cNvSpPr>
            <a:spLocks noChangeArrowheads="1"/>
          </xdr:cNvSpPr>
        </xdr:nvSpPr>
        <xdr:spPr bwMode="auto">
          <a:xfrm>
            <a:off x="6162675" y="1123950"/>
            <a:ext cx="133350" cy="142875"/>
          </a:xfrm>
          <a:prstGeom prst="ellipse">
            <a:avLst/>
          </a:prstGeom>
          <a:solidFill>
            <a:srgbClr val="0000FF"/>
          </a:solidFill>
          <a:ln w="9525">
            <a:solidFill>
              <a:srgbClr val="000000"/>
            </a:solidFill>
            <a:round/>
            <a:headEnd/>
            <a:tailEnd/>
          </a:ln>
        </xdr:spPr>
      </xdr:sp>
    </xdr:grpSp>
    <xdr:clientData/>
  </xdr:twoCellAnchor>
  <xdr:twoCellAnchor>
    <xdr:from>
      <xdr:col>18</xdr:col>
      <xdr:colOff>85725</xdr:colOff>
      <xdr:row>5</xdr:row>
      <xdr:rowOff>85725</xdr:rowOff>
    </xdr:from>
    <xdr:to>
      <xdr:col>21</xdr:col>
      <xdr:colOff>104625</xdr:colOff>
      <xdr:row>5</xdr:row>
      <xdr:rowOff>733725</xdr:rowOff>
    </xdr:to>
    <xdr:grpSp>
      <xdr:nvGrpSpPr>
        <xdr:cNvPr id="14" name="Group 51"/>
        <xdr:cNvGrpSpPr>
          <a:grpSpLocks noChangeAspect="1"/>
        </xdr:cNvGrpSpPr>
      </xdr:nvGrpSpPr>
      <xdr:grpSpPr bwMode="auto">
        <a:xfrm>
          <a:off x="4581525" y="904875"/>
          <a:ext cx="590400" cy="648000"/>
          <a:chOff x="7219950" y="533400"/>
          <a:chExt cx="847725" cy="923925"/>
        </a:xfrm>
      </xdr:grpSpPr>
      <xdr:sp macro="" textlink="">
        <xdr:nvSpPr>
          <xdr:cNvPr id="15" name="Oval 64"/>
          <xdr:cNvSpPr>
            <a:spLocks noChangeArrowheads="1"/>
          </xdr:cNvSpPr>
        </xdr:nvSpPr>
        <xdr:spPr bwMode="auto">
          <a:xfrm>
            <a:off x="7219950" y="533400"/>
            <a:ext cx="847725" cy="923925"/>
          </a:xfrm>
          <a:prstGeom prst="ellipse">
            <a:avLst/>
          </a:prstGeom>
          <a:solidFill>
            <a:srgbClr val="C0C0C0"/>
          </a:solidFill>
          <a:ln w="19050">
            <a:solidFill>
              <a:srgbClr val="000000"/>
            </a:solidFill>
            <a:round/>
            <a:headEnd/>
            <a:tailEnd/>
          </a:ln>
        </xdr:spPr>
      </xdr:sp>
      <xdr:sp macro="" textlink="">
        <xdr:nvSpPr>
          <xdr:cNvPr id="16" name="Oval 71"/>
          <xdr:cNvSpPr>
            <a:spLocks noChangeArrowheads="1"/>
          </xdr:cNvSpPr>
        </xdr:nvSpPr>
        <xdr:spPr bwMode="auto">
          <a:xfrm>
            <a:off x="7610475" y="1219200"/>
            <a:ext cx="57150" cy="66675"/>
          </a:xfrm>
          <a:prstGeom prst="ellipse">
            <a:avLst/>
          </a:prstGeom>
          <a:solidFill>
            <a:srgbClr val="FFFFFF"/>
          </a:solidFill>
          <a:ln w="9525">
            <a:solidFill>
              <a:srgbClr val="000000"/>
            </a:solidFill>
            <a:round/>
            <a:headEnd/>
            <a:tailEnd/>
          </a:ln>
        </xdr:spPr>
      </xdr:sp>
    </xdr:grpSp>
    <xdr:clientData/>
  </xdr:twoCellAnchor>
  <xdr:twoCellAnchor>
    <xdr:from>
      <xdr:col>6</xdr:col>
      <xdr:colOff>85725</xdr:colOff>
      <xdr:row>5</xdr:row>
      <xdr:rowOff>85725</xdr:rowOff>
    </xdr:from>
    <xdr:to>
      <xdr:col>9</xdr:col>
      <xdr:colOff>104625</xdr:colOff>
      <xdr:row>5</xdr:row>
      <xdr:rowOff>733725</xdr:rowOff>
    </xdr:to>
    <xdr:grpSp>
      <xdr:nvGrpSpPr>
        <xdr:cNvPr id="17" name="Group 58"/>
        <xdr:cNvGrpSpPr>
          <a:grpSpLocks noChangeAspect="1"/>
        </xdr:cNvGrpSpPr>
      </xdr:nvGrpSpPr>
      <xdr:grpSpPr bwMode="auto">
        <a:xfrm>
          <a:off x="2295525" y="904875"/>
          <a:ext cx="590400" cy="648000"/>
          <a:chOff x="2990850" y="533400"/>
          <a:chExt cx="847725" cy="923925"/>
        </a:xfrm>
      </xdr:grpSpPr>
      <xdr:sp macro="" textlink="">
        <xdr:nvSpPr>
          <xdr:cNvPr id="18" name="Oval 61"/>
          <xdr:cNvSpPr>
            <a:spLocks noChangeArrowheads="1"/>
          </xdr:cNvSpPr>
        </xdr:nvSpPr>
        <xdr:spPr bwMode="auto">
          <a:xfrm>
            <a:off x="2990850" y="533400"/>
            <a:ext cx="847725" cy="923925"/>
          </a:xfrm>
          <a:prstGeom prst="ellipse">
            <a:avLst/>
          </a:prstGeom>
          <a:solidFill>
            <a:srgbClr val="C0C0C0"/>
          </a:solidFill>
          <a:ln w="19050">
            <a:solidFill>
              <a:srgbClr val="000000"/>
            </a:solidFill>
            <a:round/>
            <a:headEnd/>
            <a:tailEnd/>
          </a:ln>
        </xdr:spPr>
      </xdr:sp>
      <xdr:sp macro="" textlink="">
        <xdr:nvSpPr>
          <xdr:cNvPr id="19" name="Oval 65"/>
          <xdr:cNvSpPr>
            <a:spLocks noChangeArrowheads="1"/>
          </xdr:cNvSpPr>
        </xdr:nvSpPr>
        <xdr:spPr bwMode="auto">
          <a:xfrm>
            <a:off x="3343274" y="923925"/>
            <a:ext cx="133351" cy="142875"/>
          </a:xfrm>
          <a:prstGeom prst="ellipse">
            <a:avLst/>
          </a:prstGeom>
          <a:solidFill>
            <a:srgbClr val="FFFFFF"/>
          </a:solidFill>
          <a:ln w="9525">
            <a:solidFill>
              <a:srgbClr val="000000"/>
            </a:solidFill>
            <a:round/>
            <a:headEnd/>
            <a:tailEnd/>
          </a:ln>
        </xdr:spPr>
      </xdr:sp>
      <xdr:sp macro="" textlink="">
        <xdr:nvSpPr>
          <xdr:cNvPr id="20" name="Oval 72"/>
          <xdr:cNvSpPr>
            <a:spLocks noChangeArrowheads="1"/>
          </xdr:cNvSpPr>
        </xdr:nvSpPr>
        <xdr:spPr bwMode="auto">
          <a:xfrm>
            <a:off x="3381375" y="1162050"/>
            <a:ext cx="57150" cy="66675"/>
          </a:xfrm>
          <a:prstGeom prst="ellipse">
            <a:avLst/>
          </a:prstGeom>
          <a:solidFill>
            <a:srgbClr val="0000FF"/>
          </a:solidFill>
          <a:ln w="9525">
            <a:solidFill>
              <a:srgbClr val="000000"/>
            </a:solidFill>
            <a:round/>
            <a:headEnd/>
            <a:tailEnd/>
          </a:ln>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6</xdr:col>
      <xdr:colOff>162658</xdr:colOff>
      <xdr:row>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410308"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58"/>
  <sheetViews>
    <sheetView showGridLines="0" showRowColHeaders="0" zoomScaleNormal="100" workbookViewId="0">
      <pane ySplit="3" topLeftCell="A13" activePane="bottomLeft" state="frozen"/>
      <selection pane="bottomLeft" activeCell="G37" sqref="A37:G37"/>
    </sheetView>
  </sheetViews>
  <sheetFormatPr defaultRowHeight="12.75" x14ac:dyDescent="0.2"/>
  <cols>
    <col min="1" max="1" width="12.5703125" customWidth="1"/>
    <col min="2" max="2" width="5.5703125" customWidth="1"/>
    <col min="3" max="3" width="26.42578125" customWidth="1"/>
    <col min="4" max="4" width="8.28515625" customWidth="1"/>
    <col min="5" max="5" width="6" customWidth="1"/>
    <col min="6" max="6" width="15.5703125" customWidth="1"/>
    <col min="7" max="7" width="14.85546875" customWidth="1"/>
    <col min="8" max="8" width="4.5703125" customWidth="1"/>
    <col min="9" max="9" width="5" customWidth="1"/>
  </cols>
  <sheetData>
    <row r="1" spans="1:9" x14ac:dyDescent="0.2">
      <c r="A1" s="1"/>
      <c r="B1" s="1"/>
      <c r="C1" s="2" t="s">
        <v>347</v>
      </c>
      <c r="D1" s="1"/>
      <c r="E1" s="1"/>
      <c r="F1" s="3" t="str">
        <f>HYPERLINK("","")</f>
        <v/>
      </c>
      <c r="G1" s="4"/>
      <c r="H1" s="5" t="s">
        <v>348</v>
      </c>
      <c r="I1" s="6"/>
    </row>
    <row r="2" spans="1:9" x14ac:dyDescent="0.2">
      <c r="A2" s="1"/>
      <c r="B2" s="1"/>
      <c r="C2" s="1"/>
      <c r="D2" s="1"/>
      <c r="E2" s="1"/>
      <c r="F2" s="7"/>
      <c r="G2" s="8"/>
      <c r="H2" s="8"/>
      <c r="I2" s="9"/>
    </row>
    <row r="3" spans="1:9" x14ac:dyDescent="0.2">
      <c r="A3" s="10" t="s">
        <v>0</v>
      </c>
      <c r="B3" s="10" t="s">
        <v>1</v>
      </c>
      <c r="C3" s="10" t="s">
        <v>2</v>
      </c>
      <c r="D3" s="10" t="s">
        <v>3</v>
      </c>
      <c r="E3" s="10" t="s">
        <v>4</v>
      </c>
      <c r="F3" s="10" t="s">
        <v>5</v>
      </c>
      <c r="G3" s="10" t="s">
        <v>6</v>
      </c>
      <c r="H3" s="10" t="s">
        <v>7</v>
      </c>
      <c r="I3" s="10" t="s">
        <v>8</v>
      </c>
    </row>
    <row r="4" spans="1:9" x14ac:dyDescent="0.2">
      <c r="A4" s="11" t="s">
        <v>349</v>
      </c>
      <c r="B4" s="12"/>
      <c r="C4" s="1"/>
      <c r="D4" s="1"/>
      <c r="E4" s="1"/>
      <c r="F4" s="1"/>
      <c r="G4" s="1"/>
      <c r="H4" s="13"/>
      <c r="I4" s="1"/>
    </row>
    <row r="5" spans="1:9" x14ac:dyDescent="0.2">
      <c r="A5" s="741" t="s">
        <v>356</v>
      </c>
      <c r="B5" s="642" t="s">
        <v>13</v>
      </c>
      <c r="C5" s="742" t="s">
        <v>358</v>
      </c>
      <c r="D5" s="643" t="s">
        <v>14</v>
      </c>
      <c r="E5" s="29" t="str">
        <f>HYPERLINK("#V1!A5","V1")</f>
        <v>V1</v>
      </c>
      <c r="F5" s="32" t="str">
        <f>HYPERLINK("https://kaart.delfi.ee/?bookmark=2456dbce930692d81ec761beacb7a00a","Voka staadion")</f>
        <v>Voka staadion</v>
      </c>
      <c r="G5" s="631" t="s">
        <v>9</v>
      </c>
      <c r="H5" s="632">
        <v>2</v>
      </c>
      <c r="I5" s="633">
        <f>V!Z59</f>
        <v>18</v>
      </c>
    </row>
    <row r="6" spans="1:9" x14ac:dyDescent="0.2">
      <c r="A6" s="641" t="s">
        <v>357</v>
      </c>
      <c r="B6" s="640" t="s">
        <v>10</v>
      </c>
      <c r="C6" s="641" t="s">
        <v>368</v>
      </c>
      <c r="D6" s="641" t="s">
        <v>11</v>
      </c>
      <c r="E6" s="21" t="str">
        <f>HYPERLINK("#1!A5","1")</f>
        <v>1</v>
      </c>
      <c r="F6" s="649" t="str">
        <f>HYPERLINK("https://kaart.delfi.ee/?bookmark=521b80d6ceeefbe3e5d227267242b576","K-Järve spordihoone")</f>
        <v>K-Järve spordihoone</v>
      </c>
      <c r="G6" s="634" t="s">
        <v>12</v>
      </c>
      <c r="H6" s="629">
        <v>2</v>
      </c>
      <c r="I6" s="630">
        <f>Reit!P63</f>
        <v>24</v>
      </c>
    </row>
    <row r="7" spans="1:9" x14ac:dyDescent="0.2">
      <c r="A7" s="639" t="s">
        <v>369</v>
      </c>
      <c r="B7" s="640" t="s">
        <v>10</v>
      </c>
      <c r="C7" s="641" t="s">
        <v>22</v>
      </c>
      <c r="D7" s="641" t="s">
        <v>14</v>
      </c>
      <c r="E7" s="21" t="str">
        <f>HYPERLINK("#2!A5","2")</f>
        <v>2</v>
      </c>
      <c r="F7" s="649" t="str">
        <f>HYPERLINK("https://kaart.delfi.ee/?bookmark=2456dbce930692d81ec761beacb7a00a","Voka staadion")</f>
        <v>Voka staadion</v>
      </c>
      <c r="G7" s="628" t="s">
        <v>9</v>
      </c>
      <c r="H7" s="629">
        <v>2</v>
      </c>
      <c r="I7" s="630">
        <f>Reit!Q63</f>
        <v>29</v>
      </c>
    </row>
    <row r="8" spans="1:9" x14ac:dyDescent="0.2">
      <c r="A8" s="741" t="s">
        <v>370</v>
      </c>
      <c r="B8" s="642" t="s">
        <v>13</v>
      </c>
      <c r="C8" s="643" t="s">
        <v>359</v>
      </c>
      <c r="D8" s="643" t="s">
        <v>14</v>
      </c>
      <c r="E8" s="29" t="str">
        <f>HYPERLINK("#V2!A5","V2")</f>
        <v>V2</v>
      </c>
      <c r="F8" s="32" t="str">
        <f>HYPERLINK("https://kaart.delfi.ee/?bookmark=2456dbce930692d81ec761beacb7a00a","Voka staadion")</f>
        <v>Voka staadion</v>
      </c>
      <c r="G8" s="631" t="s">
        <v>9</v>
      </c>
      <c r="H8" s="632">
        <v>2</v>
      </c>
      <c r="I8" s="633">
        <f>V!AA59</f>
        <v>20</v>
      </c>
    </row>
    <row r="9" spans="1:9" s="747" customFormat="1" x14ac:dyDescent="0.2">
      <c r="A9" s="641" t="s">
        <v>371</v>
      </c>
      <c r="B9" s="754" t="s">
        <v>10</v>
      </c>
      <c r="C9" s="628" t="s">
        <v>373</v>
      </c>
      <c r="D9" s="628" t="s">
        <v>11</v>
      </c>
      <c r="E9" s="21" t="str">
        <f>HYPERLINK("#3!A5","3")</f>
        <v>3</v>
      </c>
      <c r="F9" s="649" t="str">
        <f>HYPERLINK("https://kaart.delfi.ee/?bookmark=2456dbce930692d81ec761beacb7a00a","Voka staadion")</f>
        <v>Voka staadion</v>
      </c>
      <c r="G9" s="641" t="s">
        <v>9</v>
      </c>
      <c r="H9" s="629">
        <v>2</v>
      </c>
      <c r="I9" s="630">
        <f>Reit!R63</f>
        <v>37</v>
      </c>
    </row>
    <row r="10" spans="1:9" s="747" customFormat="1" x14ac:dyDescent="0.2">
      <c r="A10" s="641" t="s">
        <v>372</v>
      </c>
      <c r="B10" s="754" t="s">
        <v>10</v>
      </c>
      <c r="C10" s="628" t="s">
        <v>373</v>
      </c>
      <c r="D10" s="628" t="s">
        <v>14</v>
      </c>
      <c r="E10" s="21" t="str">
        <f>HYPERLINK("#4!v","4")</f>
        <v>4</v>
      </c>
      <c r="F10" s="649" t="str">
        <f>HYPERLINK("https://kaart.delfi.ee/?bookmark=2456dbce930692d81ec761beacb7a00a","Voka staadion")</f>
        <v>Voka staadion</v>
      </c>
      <c r="G10" s="641" t="s">
        <v>9</v>
      </c>
      <c r="H10" s="629">
        <v>2</v>
      </c>
      <c r="I10" s="630">
        <f>Reit!S63</f>
        <v>31</v>
      </c>
    </row>
    <row r="11" spans="1:9" x14ac:dyDescent="0.2">
      <c r="A11" s="14" t="s">
        <v>350</v>
      </c>
      <c r="B11" s="15"/>
      <c r="C11" s="16"/>
      <c r="D11" s="16"/>
      <c r="E11" s="17"/>
      <c r="F11" s="16"/>
      <c r="G11" s="16"/>
      <c r="H11" s="18"/>
      <c r="I11" s="19"/>
    </row>
    <row r="12" spans="1:9" x14ac:dyDescent="0.2">
      <c r="A12" s="741" t="s">
        <v>374</v>
      </c>
      <c r="B12" s="642" t="s">
        <v>13</v>
      </c>
      <c r="C12" s="643" t="s">
        <v>360</v>
      </c>
      <c r="D12" s="643" t="s">
        <v>14</v>
      </c>
      <c r="E12" s="29" t="str">
        <f>HYPERLINK("#V3!A5","V3")</f>
        <v>V3</v>
      </c>
      <c r="F12" s="32" t="str">
        <f>HYPERLINK("https://kaart.delfi.ee/?bookmark=2456dbce930692d81ec761beacb7a00a","Voka staadion")</f>
        <v>Voka staadion</v>
      </c>
      <c r="G12" s="631" t="s">
        <v>9</v>
      </c>
      <c r="H12" s="632">
        <v>2</v>
      </c>
      <c r="I12" s="633">
        <f>V!AB59</f>
        <v>20</v>
      </c>
    </row>
    <row r="13" spans="1:9" x14ac:dyDescent="0.2">
      <c r="A13" s="645" t="s">
        <v>375</v>
      </c>
      <c r="B13" s="640" t="s">
        <v>13</v>
      </c>
      <c r="C13" s="641" t="s">
        <v>17</v>
      </c>
      <c r="D13" s="641" t="s">
        <v>14</v>
      </c>
      <c r="E13" s="21" t="str">
        <f>HYPERLINK("#5!A5","5")</f>
        <v>5</v>
      </c>
      <c r="F13" s="649" t="str">
        <f>HYPERLINK("https://kaart.delfi.ee/?bookmark=521b80d6ceeefbe3e5d227267242b576","K-Järve spordihoone")</f>
        <v>K-Järve spordihoone</v>
      </c>
      <c r="G13" s="634" t="s">
        <v>12</v>
      </c>
      <c r="H13" s="629">
        <v>2</v>
      </c>
      <c r="I13" s="630">
        <f>Reit!T63</f>
        <v>22</v>
      </c>
    </row>
    <row r="14" spans="1:9" x14ac:dyDescent="0.2">
      <c r="A14" s="641" t="s">
        <v>376</v>
      </c>
      <c r="B14" s="640" t="s">
        <v>13</v>
      </c>
      <c r="C14" s="641" t="s">
        <v>19</v>
      </c>
      <c r="D14" s="641" t="s">
        <v>18</v>
      </c>
      <c r="E14" s="21" t="str">
        <f>HYPERLINK("#6!A5","6")</f>
        <v>6</v>
      </c>
      <c r="F14" s="649" t="str">
        <f>HYPERLINK("https://kaart.delfi.ee/?bookmark=521b80d6ceeefbe3e5d227267242b576","K-Järve spordihoone")</f>
        <v>K-Järve spordihoone</v>
      </c>
      <c r="G14" s="634" t="s">
        <v>12</v>
      </c>
      <c r="H14" s="629">
        <v>2</v>
      </c>
      <c r="I14" s="630" t="str">
        <f>Reit!U7</f>
        <v xml:space="preserve"> 6 </v>
      </c>
    </row>
    <row r="15" spans="1:9" x14ac:dyDescent="0.2">
      <c r="A15" s="743" t="s">
        <v>377</v>
      </c>
      <c r="B15" s="636" t="s">
        <v>15</v>
      </c>
      <c r="C15" s="637" t="str">
        <f>HYPERLINK("https://www.petanque.ee/index.php?id=103809&amp;cid=815","8. Viru karikas")</f>
        <v>8. Viru karikas</v>
      </c>
      <c r="D15" s="635" t="s">
        <v>14</v>
      </c>
      <c r="E15" s="748"/>
      <c r="F15" s="647" t="str">
        <f>HYPERLINK("https://kaart.delfi.ee/?bookmark=521b80d6ceeefbe3e5d227267242b576","K-Järve spordihoone")</f>
        <v>K-Järve spordihoone</v>
      </c>
      <c r="G15" s="749" t="s">
        <v>12</v>
      </c>
      <c r="H15" s="623">
        <v>8</v>
      </c>
      <c r="I15" s="624">
        <v>67</v>
      </c>
    </row>
    <row r="16" spans="1:9" x14ac:dyDescent="0.2">
      <c r="A16" s="743" t="s">
        <v>378</v>
      </c>
      <c r="B16" s="636" t="s">
        <v>15</v>
      </c>
      <c r="C16" s="637" t="str">
        <f>HYPERLINK("https://www.petanque.ee/index.php?id=103809&amp;cid=816","8. Viru karikas")</f>
        <v>8. Viru karikas</v>
      </c>
      <c r="D16" s="635" t="s">
        <v>11</v>
      </c>
      <c r="E16" s="748"/>
      <c r="F16" s="647" t="str">
        <f>HYPERLINK("https://kaart.delfi.ee/?bookmark=521b80d6ceeefbe3e5d227267242b576","K-Järve spordihoone")</f>
        <v>K-Järve spordihoone</v>
      </c>
      <c r="G16" s="749" t="s">
        <v>12</v>
      </c>
      <c r="H16" s="623">
        <v>8</v>
      </c>
      <c r="I16" s="624">
        <v>55</v>
      </c>
    </row>
    <row r="17" spans="1:9" x14ac:dyDescent="0.2">
      <c r="A17" s="741" t="s">
        <v>379</v>
      </c>
      <c r="B17" s="642" t="s">
        <v>13</v>
      </c>
      <c r="C17" s="643" t="s">
        <v>361</v>
      </c>
      <c r="D17" s="643" t="s">
        <v>14</v>
      </c>
      <c r="E17" s="29" t="str">
        <f>HYPERLINK("#V4!A5","V4")</f>
        <v>V4</v>
      </c>
      <c r="F17" s="32" t="str">
        <f>HYPERLINK("https://kaart.delfi.ee/?bookmark=2456dbce930692d81ec761beacb7a00a","Voka staadion")</f>
        <v>Voka staadion</v>
      </c>
      <c r="G17" s="631" t="s">
        <v>9</v>
      </c>
      <c r="H17" s="632">
        <v>2</v>
      </c>
      <c r="I17" s="633">
        <f>V!AC59</f>
        <v>20</v>
      </c>
    </row>
    <row r="18" spans="1:9" s="747" customFormat="1" x14ac:dyDescent="0.2">
      <c r="A18" s="641" t="s">
        <v>380</v>
      </c>
      <c r="B18" s="754" t="s">
        <v>10</v>
      </c>
      <c r="C18" s="628" t="s">
        <v>373</v>
      </c>
      <c r="D18" s="628" t="s">
        <v>18</v>
      </c>
      <c r="E18" s="21" t="str">
        <f>HYPERLINK("#7!A5","7")</f>
        <v>7</v>
      </c>
      <c r="F18" s="649" t="str">
        <f>HYPERLINK("https://kaart.delfi.ee/?bookmark=2456dbce930692d81ec761beacb7a00a","Voka staadion")</f>
        <v>Voka staadion</v>
      </c>
      <c r="G18" s="641" t="s">
        <v>9</v>
      </c>
      <c r="H18" s="629">
        <v>2</v>
      </c>
      <c r="I18" s="630">
        <f>Reit!V63</f>
        <v>24</v>
      </c>
    </row>
    <row r="19" spans="1:9" x14ac:dyDescent="0.2">
      <c r="A19" s="641" t="s">
        <v>381</v>
      </c>
      <c r="B19" s="640" t="s">
        <v>13</v>
      </c>
      <c r="C19" s="641" t="s">
        <v>22</v>
      </c>
      <c r="D19" s="641" t="s">
        <v>23</v>
      </c>
      <c r="E19" s="21" t="str">
        <f>HYPERLINK("#8!A5","8")</f>
        <v>8</v>
      </c>
      <c r="F19" s="649" t="str">
        <f>HYPERLINK("http://kaart.delfi.ee//?bookmark=1840db012ef3a4aff78d37f1f3ff52b8","K-Järve spordihoone")</f>
        <v>K-Järve spordihoone</v>
      </c>
      <c r="G19" s="634" t="s">
        <v>12</v>
      </c>
      <c r="H19" s="629">
        <v>2</v>
      </c>
      <c r="I19" s="630">
        <f ca="1">Reit!W63</f>
        <v>11</v>
      </c>
    </row>
    <row r="20" spans="1:9" x14ac:dyDescent="0.2">
      <c r="A20" s="651" t="s">
        <v>351</v>
      </c>
      <c r="B20" s="652" t="s">
        <v>13</v>
      </c>
      <c r="C20" s="653" t="s">
        <v>20</v>
      </c>
      <c r="D20" s="653" t="s">
        <v>18</v>
      </c>
      <c r="E20" s="654"/>
      <c r="F20" s="655" t="str">
        <f>HYPERLINK("https://kaart.delfi.ee/?bookmark=2456dbce930692d81ec761beacb7a00a","Voka staadion")</f>
        <v>Voka staadion</v>
      </c>
      <c r="G20" s="653" t="s">
        <v>9</v>
      </c>
      <c r="H20" s="656">
        <v>2</v>
      </c>
      <c r="I20" s="657"/>
    </row>
    <row r="21" spans="1:9" x14ac:dyDescent="0.2">
      <c r="A21" s="750" t="s">
        <v>382</v>
      </c>
      <c r="B21" s="658" t="s">
        <v>10</v>
      </c>
      <c r="C21" s="755" t="s">
        <v>386</v>
      </c>
      <c r="D21" s="659" t="s">
        <v>18</v>
      </c>
      <c r="E21" s="660"/>
      <c r="F21" s="661" t="str">
        <f>HYPERLINK("https://kaart.delfi.ee/?bookmark=2456dbce930692d81ec761beacb7a00a","Voka staadion")</f>
        <v>Voka staadion</v>
      </c>
      <c r="G21" s="751" t="s">
        <v>9</v>
      </c>
      <c r="H21" s="662">
        <v>8</v>
      </c>
      <c r="I21" s="663">
        <v>73</v>
      </c>
    </row>
    <row r="22" spans="1:9" x14ac:dyDescent="0.2">
      <c r="A22" s="753" t="s">
        <v>384</v>
      </c>
      <c r="B22" s="638" t="s">
        <v>10</v>
      </c>
      <c r="C22" s="752" t="s">
        <v>383</v>
      </c>
      <c r="D22" s="625" t="s">
        <v>18</v>
      </c>
      <c r="E22" s="894" t="str">
        <f>HYPERLINK("#Mu!A5","Mu")</f>
        <v>Mu</v>
      </c>
      <c r="F22" s="648" t="str">
        <f>HYPERLINK("https://kaart.delfi.ee/?bookmark=2456dbce930692d81ec761beacb7a00a","Voka staadion")</f>
        <v>Voka staadion</v>
      </c>
      <c r="G22" s="625" t="s">
        <v>21</v>
      </c>
      <c r="H22" s="626">
        <v>2</v>
      </c>
      <c r="I22" s="627"/>
    </row>
    <row r="23" spans="1:9" x14ac:dyDescent="0.2">
      <c r="A23" s="741" t="s">
        <v>385</v>
      </c>
      <c r="B23" s="642" t="s">
        <v>13</v>
      </c>
      <c r="C23" s="643" t="s">
        <v>362</v>
      </c>
      <c r="D23" s="643" t="s">
        <v>14</v>
      </c>
      <c r="E23" s="29" t="str">
        <f>HYPERLINK("#V5!A5","V5")</f>
        <v>V5</v>
      </c>
      <c r="F23" s="32" t="str">
        <f>HYPERLINK("https://kaart.delfi.ee/?bookmark=2456dbce930692d81ec761beacb7a00a","Voka staadion")</f>
        <v>Voka staadion</v>
      </c>
      <c r="G23" s="631" t="s">
        <v>9</v>
      </c>
      <c r="H23" s="632">
        <v>2</v>
      </c>
      <c r="I23" s="633">
        <f>V!AD59</f>
        <v>20</v>
      </c>
    </row>
    <row r="24" spans="1:9" x14ac:dyDescent="0.2">
      <c r="A24" s="23" t="s">
        <v>352</v>
      </c>
      <c r="B24" s="24"/>
      <c r="C24" s="25"/>
      <c r="D24" s="25"/>
      <c r="E24" s="26"/>
      <c r="F24" s="25"/>
      <c r="G24" s="25"/>
      <c r="H24" s="27"/>
      <c r="I24" s="28"/>
    </row>
    <row r="25" spans="1:9" x14ac:dyDescent="0.2">
      <c r="A25" s="741" t="s">
        <v>390</v>
      </c>
      <c r="B25" s="642" t="s">
        <v>13</v>
      </c>
      <c r="C25" s="643" t="s">
        <v>363</v>
      </c>
      <c r="D25" s="643" t="s">
        <v>14</v>
      </c>
      <c r="E25" s="29" t="str">
        <f>HYPERLINK("#V6!A5","V6")</f>
        <v>V6</v>
      </c>
      <c r="F25" s="32" t="str">
        <f>HYPERLINK("https://kaart.delfi.ee/?bookmark=2456dbce930692d81ec761beacb7a00a","Voka staadion")</f>
        <v>Voka staadion</v>
      </c>
      <c r="G25" s="631" t="s">
        <v>9</v>
      </c>
      <c r="H25" s="632">
        <v>2</v>
      </c>
      <c r="I25" s="633">
        <f>V!AE59</f>
        <v>29</v>
      </c>
    </row>
    <row r="26" spans="1:9" x14ac:dyDescent="0.2">
      <c r="A26" s="641" t="s">
        <v>387</v>
      </c>
      <c r="B26" s="644" t="s">
        <v>13</v>
      </c>
      <c r="C26" s="641" t="s">
        <v>388</v>
      </c>
      <c r="D26" s="639" t="s">
        <v>14</v>
      </c>
      <c r="E26" s="21" t="str">
        <f>HYPERLINK("#9!A5","9")</f>
        <v>9</v>
      </c>
      <c r="F26" s="649" t="str">
        <f>HYPERLINK("https://kaart.delfi.ee/?bookmark=521b80d6ceeefbe3e5d227267242b576","K-Järve spordihoone")</f>
        <v>K-Järve spordihoone</v>
      </c>
      <c r="G26" s="634" t="s">
        <v>12</v>
      </c>
      <c r="H26" s="629">
        <v>2</v>
      </c>
      <c r="I26" s="630">
        <f>Reit!X63</f>
        <v>26</v>
      </c>
    </row>
    <row r="27" spans="1:9" x14ac:dyDescent="0.2">
      <c r="A27" s="741" t="s">
        <v>402</v>
      </c>
      <c r="B27" s="642" t="s">
        <v>13</v>
      </c>
      <c r="C27" s="643" t="s">
        <v>364</v>
      </c>
      <c r="D27" s="643" t="s">
        <v>14</v>
      </c>
      <c r="E27" s="29" t="str">
        <f>HYPERLINK("#V7!A5","V7")</f>
        <v>V7</v>
      </c>
      <c r="F27" s="32" t="str">
        <f>HYPERLINK("https://kaart.delfi.ee/?bookmark=2456dbce930692d81ec761beacb7a00a","Voka staadion")</f>
        <v>Voka staadion</v>
      </c>
      <c r="G27" s="631" t="s">
        <v>9</v>
      </c>
      <c r="H27" s="632">
        <v>2</v>
      </c>
      <c r="I27" s="633">
        <f>V!AF59</f>
        <v>33</v>
      </c>
    </row>
    <row r="28" spans="1:9" x14ac:dyDescent="0.2">
      <c r="A28" s="641" t="s">
        <v>389</v>
      </c>
      <c r="B28" s="640" t="s">
        <v>13</v>
      </c>
      <c r="C28" s="641" t="s">
        <v>24</v>
      </c>
      <c r="D28" s="641" t="s">
        <v>11</v>
      </c>
      <c r="E28" s="21" t="str">
        <f>HYPERLINK("#10!A5","10")</f>
        <v>10</v>
      </c>
      <c r="F28" s="649" t="str">
        <f>HYPERLINK("https://kaart.delfi.ee/?bookmark=521b80d6ceeefbe3e5d227267242b576","K-Järve spordihoone")</f>
        <v>K-Järve spordihoone</v>
      </c>
      <c r="G28" s="634" t="s">
        <v>12</v>
      </c>
      <c r="H28" s="629">
        <v>2</v>
      </c>
      <c r="I28" s="630">
        <f>Reit!Y63</f>
        <v>21</v>
      </c>
    </row>
    <row r="29" spans="1:9" x14ac:dyDescent="0.2">
      <c r="A29" s="743" t="s">
        <v>394</v>
      </c>
      <c r="B29" s="636" t="s">
        <v>10</v>
      </c>
      <c r="C29" s="20" t="str">
        <f>HYPERLINK("https://www.petanque.ee/index.php?id=103809&amp;cid=822","26. Eesti MV")</f>
        <v>26. Eesti MV</v>
      </c>
      <c r="D29" s="743" t="s">
        <v>396</v>
      </c>
      <c r="E29" s="20" t="str">
        <f>HYPERLINK("https://www.petanque.ee/index.php?id=103809&amp;cid=822","e5")</f>
        <v>e5</v>
      </c>
      <c r="F29" s="647" t="str">
        <f>HYPERLINK("https://kaart.delfi.ee/?bookmark=2456dbce930692d81ec761beacb7a00a","Voka staadion")</f>
        <v>Voka staadion</v>
      </c>
      <c r="G29" s="622" t="s">
        <v>16</v>
      </c>
      <c r="H29" s="623">
        <v>10</v>
      </c>
      <c r="I29" s="624">
        <v>80</v>
      </c>
    </row>
    <row r="30" spans="1:9" x14ac:dyDescent="0.2">
      <c r="A30" s="743" t="s">
        <v>395</v>
      </c>
      <c r="B30" s="636" t="s">
        <v>10</v>
      </c>
      <c r="C30" s="20" t="str">
        <f>HYPERLINK("https://www.petanque.ee/index.php?id=103809&amp;cid=823","33. Eesti MV")</f>
        <v>33. Eesti MV</v>
      </c>
      <c r="D30" s="635" t="s">
        <v>18</v>
      </c>
      <c r="E30" s="20" t="str">
        <f>HYPERLINK("https://www.petanque.ee/index.php?id=103809&amp;cid=823","e6")</f>
        <v>e6</v>
      </c>
      <c r="F30" s="647" t="str">
        <f>HYPERLINK("https://kaart.delfi.ee/?bookmark=2456dbce930692d81ec761beacb7a00a","Voka staadion")</f>
        <v>Voka staadion</v>
      </c>
      <c r="G30" s="622" t="s">
        <v>16</v>
      </c>
      <c r="H30" s="623">
        <v>10</v>
      </c>
      <c r="I30" s="624">
        <v>96</v>
      </c>
    </row>
    <row r="31" spans="1:9" x14ac:dyDescent="0.2">
      <c r="A31" s="650" t="s">
        <v>392</v>
      </c>
      <c r="B31" s="644" t="s">
        <v>13</v>
      </c>
      <c r="C31" s="641" t="s">
        <v>388</v>
      </c>
      <c r="D31" s="639" t="s">
        <v>18</v>
      </c>
      <c r="E31" s="21" t="str">
        <f>HYPERLINK("#11!A5","11")</f>
        <v>11</v>
      </c>
      <c r="F31" s="649" t="str">
        <f>HYPERLINK("https://kaart.delfi.ee/?bookmark=521b80d6ceeefbe3e5d227267242b576","K-Järve spordihoone")</f>
        <v>K-Järve spordihoone</v>
      </c>
      <c r="G31" s="634" t="s">
        <v>12</v>
      </c>
      <c r="H31" s="629">
        <v>2</v>
      </c>
      <c r="I31" s="630">
        <f>Reit!Z63</f>
        <v>21</v>
      </c>
    </row>
    <row r="32" spans="1:9" x14ac:dyDescent="0.2">
      <c r="A32" s="741" t="s">
        <v>403</v>
      </c>
      <c r="B32" s="642" t="s">
        <v>13</v>
      </c>
      <c r="C32" s="643" t="s">
        <v>365</v>
      </c>
      <c r="D32" s="643" t="s">
        <v>14</v>
      </c>
      <c r="E32" s="29" t="str">
        <f>HYPERLINK("#V8!A5","V8")</f>
        <v>V8</v>
      </c>
      <c r="F32" s="32" t="str">
        <f>HYPERLINK("https://kaart.delfi.ee/?bookmark=2456dbce930692d81ec761beacb7a00a","Voka staadion")</f>
        <v>Voka staadion</v>
      </c>
      <c r="G32" s="631" t="s">
        <v>9</v>
      </c>
      <c r="H32" s="632">
        <v>2</v>
      </c>
      <c r="I32" s="633">
        <f>V!AG59</f>
        <v>21</v>
      </c>
    </row>
    <row r="33" spans="1:9" x14ac:dyDescent="0.2">
      <c r="A33" s="750" t="s">
        <v>404</v>
      </c>
      <c r="B33" s="658" t="s">
        <v>10</v>
      </c>
      <c r="C33" s="755" t="s">
        <v>397</v>
      </c>
      <c r="D33" s="751" t="s">
        <v>398</v>
      </c>
      <c r="E33" s="660"/>
      <c r="F33" s="756" t="s">
        <v>393</v>
      </c>
      <c r="G33" s="751"/>
      <c r="H33" s="662"/>
      <c r="I33" s="663"/>
    </row>
    <row r="34" spans="1:9" x14ac:dyDescent="0.2">
      <c r="A34" s="23" t="s">
        <v>353</v>
      </c>
      <c r="B34" s="24"/>
      <c r="C34" s="25"/>
      <c r="D34" s="25"/>
      <c r="E34" s="30"/>
      <c r="F34" s="25"/>
      <c r="G34" s="25"/>
      <c r="H34" s="31"/>
      <c r="I34" s="28"/>
    </row>
    <row r="35" spans="1:9" x14ac:dyDescent="0.2">
      <c r="A35" s="741" t="s">
        <v>405</v>
      </c>
      <c r="B35" s="642" t="s">
        <v>13</v>
      </c>
      <c r="C35" s="643" t="s">
        <v>366</v>
      </c>
      <c r="D35" s="643" t="s">
        <v>14</v>
      </c>
      <c r="E35" s="29" t="str">
        <f>HYPERLINK("#V9!A5","V9")</f>
        <v>V9</v>
      </c>
      <c r="F35" s="32" t="str">
        <f t="shared" ref="F35:F40" si="0">HYPERLINK("https://kaart.delfi.ee/?bookmark=2456dbce930692d81ec761beacb7a00a","Voka staadion")</f>
        <v>Voka staadion</v>
      </c>
      <c r="G35" s="631" t="s">
        <v>9</v>
      </c>
      <c r="H35" s="632">
        <v>2</v>
      </c>
      <c r="I35" s="633">
        <f>V!AH59</f>
        <v>24</v>
      </c>
    </row>
    <row r="36" spans="1:9" x14ac:dyDescent="0.2">
      <c r="A36" s="741" t="s">
        <v>406</v>
      </c>
      <c r="B36" s="642" t="s">
        <v>13</v>
      </c>
      <c r="C36" s="643" t="s">
        <v>367</v>
      </c>
      <c r="D36" s="643" t="s">
        <v>14</v>
      </c>
      <c r="E36" s="29" t="str">
        <f>HYPERLINK("#V10!A5","V10")</f>
        <v>V10</v>
      </c>
      <c r="F36" s="32" t="str">
        <f t="shared" si="0"/>
        <v>Voka staadion</v>
      </c>
      <c r="G36" s="631" t="s">
        <v>9</v>
      </c>
      <c r="H36" s="632">
        <v>2</v>
      </c>
      <c r="I36" s="633">
        <f>V!AI59</f>
        <v>22</v>
      </c>
    </row>
    <row r="37" spans="1:9" x14ac:dyDescent="0.2">
      <c r="A37" s="641" t="s">
        <v>391</v>
      </c>
      <c r="B37" s="640" t="s">
        <v>10</v>
      </c>
      <c r="C37" s="641" t="s">
        <v>22</v>
      </c>
      <c r="D37" s="641" t="s">
        <v>11</v>
      </c>
      <c r="E37" s="21" t="str">
        <f>HYPERLINK("#12!A5","12")</f>
        <v>12</v>
      </c>
      <c r="F37" s="649" t="str">
        <f>HYPERLINK("https://kaart.delfi.ee/?bookmark=521b80d6ceeefbe3e5d227267242b576","K-Järve spordihoone")</f>
        <v>K-Järve spordihoone</v>
      </c>
      <c r="G37" s="634" t="s">
        <v>12</v>
      </c>
      <c r="H37" s="629">
        <v>2</v>
      </c>
      <c r="I37" s="630">
        <f>Reit!AA63</f>
        <v>27</v>
      </c>
    </row>
    <row r="38" spans="1:9" x14ac:dyDescent="0.2">
      <c r="A38" s="14" t="s">
        <v>354</v>
      </c>
      <c r="B38" s="15"/>
      <c r="C38" s="16"/>
      <c r="D38" s="16"/>
      <c r="E38" s="17"/>
      <c r="F38" s="16"/>
      <c r="G38" s="16"/>
      <c r="H38" s="18"/>
      <c r="I38" s="19"/>
    </row>
    <row r="39" spans="1:9" x14ac:dyDescent="0.2">
      <c r="A39" s="641" t="s">
        <v>407</v>
      </c>
      <c r="B39" s="640" t="s">
        <v>10</v>
      </c>
      <c r="C39" s="641" t="s">
        <v>22</v>
      </c>
      <c r="D39" s="641" t="s">
        <v>18</v>
      </c>
      <c r="E39" s="21" t="str">
        <f>HYPERLINK("#13!A5","13")</f>
        <v>13</v>
      </c>
      <c r="F39" s="649" t="str">
        <f>HYPERLINK("https://kaart.delfi.ee/?bookmark=521b80d6ceeefbe3e5d227267242b576","K-Järve spordihoone")</f>
        <v>K-Järve spordihoone</v>
      </c>
      <c r="G39" s="641" t="s">
        <v>12</v>
      </c>
      <c r="H39" s="629">
        <v>2</v>
      </c>
      <c r="I39" s="630">
        <f>Reit!AB63</f>
        <v>26</v>
      </c>
    </row>
    <row r="40" spans="1:9" x14ac:dyDescent="0.2">
      <c r="A40" s="646" t="s">
        <v>409</v>
      </c>
      <c r="B40" s="762" t="s">
        <v>10</v>
      </c>
      <c r="C40" s="646" t="s">
        <v>412</v>
      </c>
      <c r="D40" s="646" t="s">
        <v>14</v>
      </c>
      <c r="E40" s="983" t="str">
        <f>HYPERLINK("v-d!A5","v-d")</f>
        <v>v-d</v>
      </c>
      <c r="F40" s="22" t="str">
        <f t="shared" si="0"/>
        <v>Voka staadion</v>
      </c>
      <c r="G40" s="646" t="s">
        <v>9</v>
      </c>
      <c r="H40" s="745"/>
      <c r="I40" s="746">
        <v>18</v>
      </c>
    </row>
    <row r="41" spans="1:9" x14ac:dyDescent="0.2">
      <c r="A41" s="646" t="s">
        <v>410</v>
      </c>
      <c r="B41" s="762" t="s">
        <v>10</v>
      </c>
      <c r="C41" s="646" t="s">
        <v>412</v>
      </c>
      <c r="D41" s="646" t="s">
        <v>11</v>
      </c>
      <c r="E41" s="983" t="str">
        <f>HYPERLINK("v-t!A5","v-t")</f>
        <v>v-t</v>
      </c>
      <c r="F41" s="22" t="str">
        <f>HYPERLINK("https://kaart.delfi.ee/?bookmark=236e0f8de3f3d8e7138807663f9b5d14","Voka petangihall")</f>
        <v>Voka petangihall</v>
      </c>
      <c r="G41" s="646" t="s">
        <v>9</v>
      </c>
      <c r="H41" s="745"/>
      <c r="I41" s="746">
        <v>15</v>
      </c>
    </row>
    <row r="42" spans="1:9" x14ac:dyDescent="0.2">
      <c r="A42" s="646" t="s">
        <v>411</v>
      </c>
      <c r="B42" s="762" t="s">
        <v>10</v>
      </c>
      <c r="C42" s="646" t="s">
        <v>412</v>
      </c>
      <c r="D42" s="767" t="s">
        <v>18</v>
      </c>
      <c r="E42" s="984" t="str">
        <f>HYPERLINK("v-ü!A5","v-ü")</f>
        <v>v-ü</v>
      </c>
      <c r="F42" s="22" t="str">
        <f>HYPERLINK("https://kaart.delfi.ee/?bookmark=236e0f8de3f3d8e7138807663f9b5d14","Voka petangihall")</f>
        <v>Voka petangihall</v>
      </c>
      <c r="G42" s="646" t="s">
        <v>9</v>
      </c>
      <c r="H42" s="767"/>
      <c r="I42" s="992">
        <v>13</v>
      </c>
    </row>
    <row r="43" spans="1:9" x14ac:dyDescent="0.2">
      <c r="A43" s="23" t="s">
        <v>355</v>
      </c>
      <c r="B43" s="24"/>
      <c r="C43" s="25"/>
      <c r="D43" s="25"/>
      <c r="E43" s="30"/>
      <c r="F43" s="25"/>
      <c r="G43" s="25"/>
      <c r="H43" s="31"/>
      <c r="I43" s="28"/>
    </row>
    <row r="44" spans="1:9" x14ac:dyDescent="0.2">
      <c r="A44" s="744" t="s">
        <v>408</v>
      </c>
      <c r="B44" s="762" t="s">
        <v>10</v>
      </c>
      <c r="C44" s="763" t="s">
        <v>26</v>
      </c>
      <c r="D44" s="763" t="s">
        <v>18</v>
      </c>
      <c r="E44" s="764" t="str">
        <f>HYPERLINK("#L!W1","L")</f>
        <v>L</v>
      </c>
      <c r="F44" s="22" t="str">
        <f>HYPERLINK("https://kaart.delfi.ee/?bookmark=236e0f8de3f3d8e7138807663f9b5d14","Voka petangihall")</f>
        <v>Voka petangihall</v>
      </c>
      <c r="G44" s="763"/>
      <c r="H44" s="765">
        <v>0</v>
      </c>
      <c r="I44" s="766"/>
    </row>
    <row r="45" spans="1:9" x14ac:dyDescent="0.2">
      <c r="A45" s="25"/>
      <c r="B45" s="25"/>
      <c r="C45" s="25"/>
      <c r="D45" s="25"/>
      <c r="E45" s="25"/>
      <c r="F45" s="25"/>
      <c r="G45" s="25"/>
      <c r="H45" s="25"/>
      <c r="I45" s="25"/>
    </row>
    <row r="46" spans="1:9" x14ac:dyDescent="0.2">
      <c r="A46" s="33" t="s">
        <v>27</v>
      </c>
      <c r="B46" s="1"/>
      <c r="C46" s="1"/>
      <c r="D46" s="1"/>
      <c r="E46" s="1"/>
      <c r="F46" s="1"/>
      <c r="G46" s="1"/>
      <c r="H46" s="1"/>
      <c r="I46" s="1"/>
    </row>
    <row r="47" spans="1:9" x14ac:dyDescent="0.2">
      <c r="A47" s="34" t="s">
        <v>543</v>
      </c>
      <c r="B47" s="1"/>
      <c r="C47" s="1"/>
      <c r="D47" s="1"/>
      <c r="E47" s="1"/>
      <c r="F47" s="1"/>
      <c r="G47" s="1"/>
      <c r="H47" s="1"/>
      <c r="I47" s="1"/>
    </row>
    <row r="48" spans="1:9" x14ac:dyDescent="0.2">
      <c r="A48" s="35" t="s">
        <v>28</v>
      </c>
      <c r="B48" s="36"/>
      <c r="C48" s="36"/>
      <c r="D48" s="4"/>
      <c r="E48" s="4"/>
      <c r="F48" s="4"/>
      <c r="G48" s="4"/>
      <c r="H48" s="4"/>
      <c r="I48" s="4"/>
    </row>
    <row r="49" spans="1:9" x14ac:dyDescent="0.2">
      <c r="A49" s="35" t="s">
        <v>29</v>
      </c>
      <c r="B49" s="36"/>
      <c r="C49" s="36"/>
      <c r="D49" s="36"/>
      <c r="E49" s="36"/>
      <c r="F49" s="36"/>
      <c r="G49" s="36"/>
      <c r="H49" s="36"/>
      <c r="I49" s="36"/>
    </row>
    <row r="50" spans="1:9" x14ac:dyDescent="0.2">
      <c r="A50" s="37" t="s">
        <v>30</v>
      </c>
      <c r="B50" s="38"/>
      <c r="C50" s="38"/>
      <c r="D50" s="4"/>
      <c r="E50" s="4"/>
      <c r="F50" s="4"/>
      <c r="G50" s="4"/>
      <c r="H50" s="39"/>
      <c r="I50" s="4"/>
    </row>
    <row r="51" spans="1:9" x14ac:dyDescent="0.2">
      <c r="A51" s="40" t="s">
        <v>31</v>
      </c>
      <c r="B51" s="1"/>
      <c r="C51" s="1"/>
      <c r="D51" s="1"/>
      <c r="E51" s="1"/>
      <c r="F51" s="1"/>
      <c r="G51" s="1"/>
      <c r="H51" s="1"/>
      <c r="I51" s="1"/>
    </row>
    <row r="52" spans="1:9" x14ac:dyDescent="0.2">
      <c r="A52" s="1"/>
      <c r="B52" s="1"/>
      <c r="C52" s="1"/>
      <c r="D52" s="1"/>
      <c r="E52" s="1"/>
      <c r="F52" s="1"/>
      <c r="G52" s="1"/>
      <c r="H52" s="1"/>
      <c r="I52" s="1"/>
    </row>
    <row r="53" spans="1:9" x14ac:dyDescent="0.2">
      <c r="F53" s="41"/>
    </row>
    <row r="54" spans="1:9" x14ac:dyDescent="0.2">
      <c r="F54" s="41"/>
    </row>
    <row r="55" spans="1:9" x14ac:dyDescent="0.2">
      <c r="F55" s="41"/>
    </row>
    <row r="56" spans="1:9" x14ac:dyDescent="0.2">
      <c r="F56" s="41"/>
    </row>
    <row r="57" spans="1:9" x14ac:dyDescent="0.2">
      <c r="F57" s="41"/>
    </row>
    <row r="58" spans="1:9" x14ac:dyDescent="0.2">
      <c r="F58" s="41"/>
    </row>
  </sheetData>
  <conditionalFormatting sqref="I18">
    <cfRule type="top10" dxfId="3141" priority="1" stopIfTrue="1" rank="1"/>
  </conditionalFormatting>
  <conditionalFormatting sqref="I43:I44 I17 I5:I10 I12:I14 I19:I20 I22:I28 I31:I32 I34:I41">
    <cfRule type="top10" dxfId="3140" priority="503" stopIfTrue="1" rank="1"/>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320"/>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18.71093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8.7109375" hidden="1" customWidth="1"/>
    <col min="32" max="32" width="9.140625" hidden="1" customWidth="1"/>
  </cols>
  <sheetData>
    <row r="1" spans="1:32" x14ac:dyDescent="0.2">
      <c r="A1" s="462" t="str">
        <f>UPPER((Kalend!E14)&amp;" - "&amp;(Kalend!C14)&amp;" - "&amp;(Kalend!D14))</f>
        <v>6 - K-JÄRVE 18. KV 3. ETAPP - ÜKSIK</v>
      </c>
      <c r="B1" s="403"/>
      <c r="C1" s="404"/>
      <c r="D1" s="403"/>
      <c r="E1" s="403"/>
      <c r="L1" s="406"/>
      <c r="M1" s="407"/>
      <c r="N1" s="407"/>
      <c r="O1" s="403"/>
      <c r="P1" s="403"/>
      <c r="Q1" s="405"/>
      <c r="R1" s="405"/>
      <c r="S1" s="405"/>
      <c r="T1" s="406"/>
      <c r="U1" s="406"/>
      <c r="V1" s="406"/>
      <c r="W1" s="403"/>
      <c r="X1" s="408"/>
      <c r="Y1" s="403"/>
      <c r="Z1" s="403"/>
      <c r="AA1" s="403"/>
      <c r="AB1" s="403"/>
      <c r="AD1" s="176" t="s">
        <v>68</v>
      </c>
      <c r="AE1" s="536"/>
      <c r="AF1" s="536"/>
    </row>
    <row r="2" spans="1:32" x14ac:dyDescent="0.2">
      <c r="A2" s="409" t="str">
        <f>"Toimumisaeg: "&amp;(Kalend!A14)&amp;" kell "&amp;(Kalend!B14)</f>
        <v>Toimumisaeg: P, 06.06.2021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row>
    <row r="3" spans="1:32" x14ac:dyDescent="0.2">
      <c r="A3" s="409" t="str">
        <f>"Toimumiskoht: "&amp;(Kalend!F14)</f>
        <v>Toimumiskoht: K-Järve spordihoone</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row>
    <row r="4" spans="1:32" x14ac:dyDescent="0.2">
      <c r="A4" s="409" t="str">
        <f>"Korraldaja: "&amp;(Kalend!G14)</f>
        <v>Korraldaja: Ivar Viljaste</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537" t="s">
        <v>231</v>
      </c>
      <c r="AF4" s="409"/>
    </row>
    <row r="5" spans="1:3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538" t="s">
        <v>287</v>
      </c>
      <c r="AE5" s="540" t="s">
        <v>93</v>
      </c>
      <c r="AF5" s="539"/>
    </row>
    <row r="6" spans="1:3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978"/>
      <c r="AF6" s="540"/>
    </row>
    <row r="7" spans="1:3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979"/>
      <c r="AE7" s="539"/>
      <c r="AF7" s="539"/>
    </row>
    <row r="8" spans="1:32" x14ac:dyDescent="0.2">
      <c r="A8" s="435">
        <v>1</v>
      </c>
      <c r="B8" s="436" t="s">
        <v>12</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26">
        <f ca="1">SUM(AF8:AF8)</f>
        <v>272</v>
      </c>
      <c r="AE8" s="543" t="str">
        <f>$B8</f>
        <v>Ivar Viljaste</v>
      </c>
      <c r="AF8" s="544">
        <f ca="1">IFERROR(INDEX(Reit!$I:$I,MATCH(AE8,Reit!$F:$F,0)),"")</f>
        <v>272</v>
      </c>
    </row>
    <row r="9" spans="1:32" x14ac:dyDescent="0.2">
      <c r="A9" s="435">
        <v>2</v>
      </c>
      <c r="B9" s="436" t="s">
        <v>115</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5" si="0">IF(C9&gt;E9,J$3,IF(C9&lt;E9,J$5,IF(ISNUMBER(C9),J$4,0)))+IF(G9&gt;I9,J$3,IF(G9&lt;I9,J$5,IF(ISNUMBER(G9),J$4,0)))+IF(K9&gt;M9,J$3,IF(K9&lt;M9,J$5,IF(ISNUMBER(K9),J$4,0)))+IF(O9&gt;Q9,J$3,IF(O9&lt;Q9,J$5,IF(ISNUMBER(O9),J$4,0)))+IF(S9&gt;U9,J$3,IF(S9&lt;U9,J$5,IF(ISNUMBER(S9),J$4,0)))</f>
        <v>0</v>
      </c>
      <c r="X9" s="442"/>
      <c r="Y9" s="437">
        <f t="shared" ref="Y9:Y25" si="1">C9+G9+K9+O9+S9</f>
        <v>0</v>
      </c>
      <c r="Z9" s="438" t="s">
        <v>246</v>
      </c>
      <c r="AA9" s="443">
        <f t="shared" ref="AA9:AA25" si="2">E9+I9+M9+Q9+U9</f>
        <v>0</v>
      </c>
      <c r="AB9" s="444">
        <f t="shared" ref="AB9:AB25" si="3">Y9-AA9</f>
        <v>0</v>
      </c>
      <c r="AC9" s="445"/>
      <c r="AD9" s="426">
        <f ca="1">SUM(AF9:AF9)</f>
        <v>232</v>
      </c>
      <c r="AE9" s="543" t="str">
        <f>$B9</f>
        <v>Aarne Välja</v>
      </c>
      <c r="AF9" s="544">
        <f ca="1">IFERROR(INDEX(Reit!$I:$I,MATCH(AE9,Reit!$F:$F,0)),"")</f>
        <v>232</v>
      </c>
    </row>
    <row r="10" spans="1:32" x14ac:dyDescent="0.2">
      <c r="A10" s="435">
        <v>3</v>
      </c>
      <c r="B10" s="436" t="s">
        <v>107</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0"/>
        <v>0</v>
      </c>
      <c r="X10" s="442"/>
      <c r="Y10" s="437">
        <f t="shared" si="1"/>
        <v>0</v>
      </c>
      <c r="Z10" s="438" t="s">
        <v>246</v>
      </c>
      <c r="AA10" s="443">
        <f t="shared" si="2"/>
        <v>0</v>
      </c>
      <c r="AB10" s="444">
        <f t="shared" si="3"/>
        <v>0</v>
      </c>
      <c r="AC10" s="445"/>
      <c r="AD10" s="426">
        <f t="shared" ref="AD10:AD23" ca="1" si="4">SUM(AF10:AF10)</f>
        <v>294</v>
      </c>
      <c r="AE10" s="543" t="str">
        <f t="shared" ref="AE10:AE28" si="5">$B10</f>
        <v>Matti Vinni</v>
      </c>
      <c r="AF10" s="544">
        <f ca="1">IFERROR(INDEX(Reit!$I:$I,MATCH(AE10,Reit!$F:$F,0)),"")</f>
        <v>294</v>
      </c>
    </row>
    <row r="11" spans="1:32" x14ac:dyDescent="0.2">
      <c r="A11" s="435">
        <v>4</v>
      </c>
      <c r="B11" s="436" t="s">
        <v>108</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0"/>
        <v>0</v>
      </c>
      <c r="X11" s="442"/>
      <c r="Y11" s="437">
        <f t="shared" si="1"/>
        <v>0</v>
      </c>
      <c r="Z11" s="438" t="s">
        <v>246</v>
      </c>
      <c r="AA11" s="443">
        <f t="shared" si="2"/>
        <v>0</v>
      </c>
      <c r="AB11" s="444">
        <f t="shared" si="3"/>
        <v>0</v>
      </c>
      <c r="AC11" s="445"/>
      <c r="AD11" s="426">
        <f t="shared" ca="1" si="4"/>
        <v>212</v>
      </c>
      <c r="AE11" s="543" t="str">
        <f t="shared" si="5"/>
        <v>Oleg Rõndenkov</v>
      </c>
      <c r="AF11" s="544">
        <f ca="1">IFERROR(INDEX(Reit!$I:$I,MATCH(AE11,Reit!$F:$F,0)),"")</f>
        <v>212</v>
      </c>
    </row>
    <row r="12" spans="1:32" x14ac:dyDescent="0.2">
      <c r="A12" s="435">
        <v>5</v>
      </c>
      <c r="B12" s="436" t="s">
        <v>122</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0"/>
        <v>0</v>
      </c>
      <c r="X12" s="442"/>
      <c r="Y12" s="437">
        <f t="shared" si="1"/>
        <v>0</v>
      </c>
      <c r="Z12" s="438" t="s">
        <v>246</v>
      </c>
      <c r="AA12" s="443">
        <f t="shared" si="2"/>
        <v>0</v>
      </c>
      <c r="AB12" s="444">
        <f t="shared" si="3"/>
        <v>0</v>
      </c>
      <c r="AC12" s="445"/>
      <c r="AD12" s="426">
        <f t="shared" ca="1" si="4"/>
        <v>94</v>
      </c>
      <c r="AE12" s="543" t="str">
        <f t="shared" si="5"/>
        <v>Vladimir Ogneštšikov</v>
      </c>
      <c r="AF12" s="544">
        <f ca="1">IFERROR(INDEX(Reit!$I:$I,MATCH(AE12,Reit!$F:$F,0)),"")</f>
        <v>94</v>
      </c>
    </row>
    <row r="13" spans="1:32" x14ac:dyDescent="0.2">
      <c r="A13" s="435">
        <v>6</v>
      </c>
      <c r="B13" s="436" t="s">
        <v>401</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0"/>
        <v>0</v>
      </c>
      <c r="X13" s="442"/>
      <c r="Y13" s="437">
        <f t="shared" si="1"/>
        <v>0</v>
      </c>
      <c r="Z13" s="438" t="s">
        <v>246</v>
      </c>
      <c r="AA13" s="443">
        <f t="shared" si="2"/>
        <v>0</v>
      </c>
      <c r="AB13" s="444">
        <f t="shared" si="3"/>
        <v>0</v>
      </c>
      <c r="AC13" s="445"/>
      <c r="AD13" s="426">
        <f t="shared" ca="1" si="4"/>
        <v>116</v>
      </c>
      <c r="AE13" s="543" t="str">
        <f t="shared" si="5"/>
        <v>Olav Türk</v>
      </c>
      <c r="AF13" s="544">
        <f ca="1">IFERROR(INDEX(Reit!$I:$I,MATCH(AE13,Reit!$F:$F,0)),"")</f>
        <v>116</v>
      </c>
    </row>
    <row r="14" spans="1:32" x14ac:dyDescent="0.2">
      <c r="A14" s="435">
        <v>7</v>
      </c>
      <c r="B14" s="446" t="s">
        <v>117</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0"/>
        <v>0</v>
      </c>
      <c r="X14" s="442"/>
      <c r="Y14" s="437">
        <f t="shared" si="1"/>
        <v>0</v>
      </c>
      <c r="Z14" s="438" t="s">
        <v>246</v>
      </c>
      <c r="AA14" s="443">
        <f t="shared" si="2"/>
        <v>0</v>
      </c>
      <c r="AB14" s="444">
        <f t="shared" si="3"/>
        <v>0</v>
      </c>
      <c r="AC14" s="445"/>
      <c r="AD14" s="426">
        <f t="shared" ca="1" si="4"/>
        <v>174</v>
      </c>
      <c r="AE14" s="543" t="str">
        <f t="shared" si="5"/>
        <v>Andrei Grintšak</v>
      </c>
      <c r="AF14" s="544">
        <f ca="1">IFERROR(INDEX(Reit!$I:$I,MATCH(AE14,Reit!$F:$F,0)),"")</f>
        <v>174</v>
      </c>
    </row>
    <row r="15" spans="1:32" x14ac:dyDescent="0.2">
      <c r="A15" s="435">
        <v>8</v>
      </c>
      <c r="B15" s="446" t="s">
        <v>137</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0"/>
        <v>0</v>
      </c>
      <c r="X15" s="442"/>
      <c r="Y15" s="437">
        <f t="shared" si="1"/>
        <v>0</v>
      </c>
      <c r="Z15" s="438" t="s">
        <v>246</v>
      </c>
      <c r="AA15" s="443">
        <f t="shared" si="2"/>
        <v>0</v>
      </c>
      <c r="AB15" s="444">
        <f t="shared" si="3"/>
        <v>0</v>
      </c>
      <c r="AC15" s="445"/>
      <c r="AD15" s="426">
        <f t="shared" ca="1" si="4"/>
        <v>149</v>
      </c>
      <c r="AE15" s="543" t="str">
        <f t="shared" si="5"/>
        <v>Ljudmila Varendi</v>
      </c>
      <c r="AF15" s="544">
        <f ca="1">IFERROR(INDEX(Reit!$I:$I,MATCH(AE15,Reit!$F:$F,0)),"")</f>
        <v>149</v>
      </c>
    </row>
    <row r="16" spans="1:32" x14ac:dyDescent="0.2">
      <c r="A16" s="435">
        <v>9</v>
      </c>
      <c r="B16" s="436" t="s">
        <v>106</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0"/>
        <v>0</v>
      </c>
      <c r="X16" s="442"/>
      <c r="Y16" s="437">
        <f t="shared" si="1"/>
        <v>0</v>
      </c>
      <c r="Z16" s="438" t="s">
        <v>246</v>
      </c>
      <c r="AA16" s="443">
        <f t="shared" si="2"/>
        <v>0</v>
      </c>
      <c r="AB16" s="444">
        <f t="shared" si="3"/>
        <v>0</v>
      </c>
      <c r="AC16" s="445"/>
      <c r="AD16" s="426">
        <f t="shared" ca="1" si="4"/>
        <v>248</v>
      </c>
      <c r="AE16" s="543" t="str">
        <f t="shared" si="5"/>
        <v>Jaan Sepp</v>
      </c>
      <c r="AF16" s="544">
        <f ca="1">IFERROR(INDEX(Reit!$I:$I,MATCH(AE16,Reit!$F:$F,0)),"")</f>
        <v>248</v>
      </c>
    </row>
    <row r="17" spans="1:37" x14ac:dyDescent="0.2">
      <c r="A17" s="435">
        <v>10</v>
      </c>
      <c r="B17" s="436" t="s">
        <v>114</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0"/>
        <v>0</v>
      </c>
      <c r="X17" s="442"/>
      <c r="Y17" s="437">
        <f t="shared" si="1"/>
        <v>0</v>
      </c>
      <c r="Z17" s="438" t="s">
        <v>246</v>
      </c>
      <c r="AA17" s="443">
        <f t="shared" si="2"/>
        <v>0</v>
      </c>
      <c r="AB17" s="444">
        <f t="shared" si="3"/>
        <v>0</v>
      </c>
      <c r="AC17" s="445"/>
      <c r="AD17" s="426">
        <f t="shared" ca="1" si="4"/>
        <v>150</v>
      </c>
      <c r="AE17" s="543" t="str">
        <f t="shared" si="5"/>
        <v>Janek Tarto</v>
      </c>
      <c r="AF17" s="544">
        <f ca="1">IFERROR(INDEX(Reit!$I:$I,MATCH(AE17,Reit!$F:$F,0)),"")</f>
        <v>150</v>
      </c>
    </row>
    <row r="18" spans="1:37" x14ac:dyDescent="0.2">
      <c r="A18" s="435">
        <v>11</v>
      </c>
      <c r="B18" s="446" t="s">
        <v>156</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0"/>
        <v>0</v>
      </c>
      <c r="X18" s="442"/>
      <c r="Y18" s="437">
        <f t="shared" si="1"/>
        <v>0</v>
      </c>
      <c r="Z18" s="438" t="s">
        <v>246</v>
      </c>
      <c r="AA18" s="443">
        <f t="shared" si="2"/>
        <v>0</v>
      </c>
      <c r="AB18" s="444">
        <f t="shared" si="3"/>
        <v>0</v>
      </c>
      <c r="AC18" s="445"/>
      <c r="AD18" s="426">
        <f t="shared" ca="1" si="4"/>
        <v>130</v>
      </c>
      <c r="AE18" s="543" t="str">
        <f t="shared" si="5"/>
        <v>Marta Bernat</v>
      </c>
      <c r="AF18" s="544">
        <f ca="1">IFERROR(INDEX(Reit!$I:$I,MATCH(AE18,Reit!$F:$F,0)),"")</f>
        <v>130</v>
      </c>
    </row>
    <row r="19" spans="1:37" x14ac:dyDescent="0.2">
      <c r="A19" s="435">
        <v>12</v>
      </c>
      <c r="B19" s="446" t="s">
        <v>138</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0"/>
        <v>0</v>
      </c>
      <c r="X19" s="442"/>
      <c r="Y19" s="437">
        <f t="shared" si="1"/>
        <v>0</v>
      </c>
      <c r="Z19" s="438" t="s">
        <v>246</v>
      </c>
      <c r="AA19" s="443">
        <f t="shared" si="2"/>
        <v>0</v>
      </c>
      <c r="AB19" s="444">
        <f t="shared" si="3"/>
        <v>0</v>
      </c>
      <c r="AC19" s="445"/>
      <c r="AD19" s="426">
        <f t="shared" ca="1" si="4"/>
        <v>132</v>
      </c>
      <c r="AE19" s="543" t="str">
        <f t="shared" si="5"/>
        <v>Viktor Švarõgin</v>
      </c>
      <c r="AF19" s="544">
        <f ca="1">IFERROR(INDEX(Reit!$I:$I,MATCH(AE19,Reit!$F:$F,0)),"")</f>
        <v>132</v>
      </c>
    </row>
    <row r="20" spans="1:37" x14ac:dyDescent="0.2">
      <c r="A20" s="435">
        <v>13</v>
      </c>
      <c r="B20" s="436" t="s">
        <v>116</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0"/>
        <v>0</v>
      </c>
      <c r="X20" s="442"/>
      <c r="Y20" s="437">
        <f t="shared" si="1"/>
        <v>0</v>
      </c>
      <c r="Z20" s="438" t="s">
        <v>246</v>
      </c>
      <c r="AA20" s="443">
        <f t="shared" si="2"/>
        <v>0</v>
      </c>
      <c r="AB20" s="444">
        <f t="shared" si="3"/>
        <v>0</v>
      </c>
      <c r="AC20" s="445"/>
      <c r="AD20" s="426">
        <f t="shared" ca="1" si="4"/>
        <v>185</v>
      </c>
      <c r="AE20" s="543" t="str">
        <f t="shared" si="5"/>
        <v>Boriss Klubov</v>
      </c>
      <c r="AF20" s="544">
        <f ca="1">IFERROR(INDEX(Reit!$I:$I,MATCH(AE20,Reit!$F:$F,0)),"")</f>
        <v>185</v>
      </c>
    </row>
    <row r="21" spans="1:37" x14ac:dyDescent="0.2">
      <c r="A21" s="435">
        <v>14</v>
      </c>
      <c r="B21" s="446" t="s">
        <v>124</v>
      </c>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0"/>
        <v>0</v>
      </c>
      <c r="X21" s="442"/>
      <c r="Y21" s="437">
        <f t="shared" si="1"/>
        <v>0</v>
      </c>
      <c r="Z21" s="438" t="s">
        <v>246</v>
      </c>
      <c r="AA21" s="443">
        <f t="shared" si="2"/>
        <v>0</v>
      </c>
      <c r="AB21" s="444">
        <f t="shared" si="3"/>
        <v>0</v>
      </c>
      <c r="AC21" s="445"/>
      <c r="AD21" s="426">
        <f t="shared" ca="1" si="4"/>
        <v>286</v>
      </c>
      <c r="AE21" s="543" t="str">
        <f t="shared" si="5"/>
        <v>Henri Mitt</v>
      </c>
      <c r="AF21" s="544">
        <f ca="1">IFERROR(INDEX(Reit!$I:$I,MATCH(AE21,Reit!$F:$F,0)),"")</f>
        <v>286</v>
      </c>
    </row>
    <row r="22" spans="1:37" x14ac:dyDescent="0.2">
      <c r="A22" s="435">
        <v>15</v>
      </c>
      <c r="B22" s="446" t="s">
        <v>109</v>
      </c>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0"/>
        <v>0</v>
      </c>
      <c r="X22" s="442"/>
      <c r="Y22" s="437">
        <f t="shared" si="1"/>
        <v>0</v>
      </c>
      <c r="Z22" s="438" t="s">
        <v>246</v>
      </c>
      <c r="AA22" s="443">
        <f t="shared" si="2"/>
        <v>0</v>
      </c>
      <c r="AB22" s="444">
        <f t="shared" si="3"/>
        <v>0</v>
      </c>
      <c r="AC22" s="445"/>
      <c r="AD22" s="426">
        <f t="shared" ca="1" si="4"/>
        <v>159</v>
      </c>
      <c r="AE22" s="543" t="str">
        <f t="shared" si="5"/>
        <v>Elmo Lageda</v>
      </c>
      <c r="AF22" s="544">
        <f ca="1">IFERROR(INDEX(Reit!$I:$I,MATCH(AE22,Reit!$F:$F,0)),"")</f>
        <v>159</v>
      </c>
    </row>
    <row r="23" spans="1:37" x14ac:dyDescent="0.2">
      <c r="A23" s="435">
        <v>16</v>
      </c>
      <c r="B23" s="436" t="s">
        <v>105</v>
      </c>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0"/>
        <v>0</v>
      </c>
      <c r="X23" s="442"/>
      <c r="Y23" s="437">
        <f t="shared" si="1"/>
        <v>0</v>
      </c>
      <c r="Z23" s="438" t="s">
        <v>246</v>
      </c>
      <c r="AA23" s="443">
        <f t="shared" si="2"/>
        <v>0</v>
      </c>
      <c r="AB23" s="444">
        <f t="shared" si="3"/>
        <v>0</v>
      </c>
      <c r="AC23" s="445"/>
      <c r="AD23" s="426">
        <f t="shared" ca="1" si="4"/>
        <v>292</v>
      </c>
      <c r="AE23" s="543" t="str">
        <f t="shared" si="5"/>
        <v>Oskar Sepp</v>
      </c>
      <c r="AF23" s="544">
        <f ca="1">IFERROR(INDEX(Reit!$I:$I,MATCH(AE23,Reit!$F:$F,0)),"")</f>
        <v>292</v>
      </c>
    </row>
    <row r="24" spans="1:37" x14ac:dyDescent="0.2">
      <c r="A24" s="435">
        <v>17</v>
      </c>
      <c r="B24" s="446" t="s">
        <v>112</v>
      </c>
      <c r="C24" s="437"/>
      <c r="D24" s="438" t="s">
        <v>246</v>
      </c>
      <c r="E24" s="439"/>
      <c r="F24" s="440"/>
      <c r="G24" s="437"/>
      <c r="H24" s="438" t="s">
        <v>246</v>
      </c>
      <c r="I24" s="439"/>
      <c r="J24" s="440"/>
      <c r="K24" s="437"/>
      <c r="L24" s="438" t="s">
        <v>246</v>
      </c>
      <c r="M24" s="439"/>
      <c r="N24" s="440"/>
      <c r="O24" s="437"/>
      <c r="P24" s="438" t="s">
        <v>246</v>
      </c>
      <c r="Q24" s="439"/>
      <c r="R24" s="440"/>
      <c r="S24" s="437"/>
      <c r="T24" s="438" t="s">
        <v>246</v>
      </c>
      <c r="U24" s="439"/>
      <c r="V24" s="440"/>
      <c r="W24" s="441">
        <f t="shared" si="0"/>
        <v>0</v>
      </c>
      <c r="X24" s="442"/>
      <c r="Y24" s="437">
        <f t="shared" si="1"/>
        <v>0</v>
      </c>
      <c r="Z24" s="438" t="s">
        <v>246</v>
      </c>
      <c r="AA24" s="443">
        <f t="shared" si="2"/>
        <v>0</v>
      </c>
      <c r="AB24" s="444">
        <f t="shared" si="3"/>
        <v>0</v>
      </c>
      <c r="AC24" s="445"/>
      <c r="AD24" s="426">
        <f t="shared" ref="AD24:AD28" ca="1" si="6">SUM(AF24:AF24)</f>
        <v>197</v>
      </c>
      <c r="AE24" s="543" t="str">
        <f t="shared" si="5"/>
        <v>Andres Veski</v>
      </c>
      <c r="AF24" s="544">
        <f ca="1">IFERROR(INDEX(Reit!$I:$I,MATCH(AE24,Reit!$F:$F,0)),"")</f>
        <v>197</v>
      </c>
    </row>
    <row r="25" spans="1:37" x14ac:dyDescent="0.2">
      <c r="A25" s="435">
        <v>18</v>
      </c>
      <c r="B25" s="446" t="s">
        <v>153</v>
      </c>
      <c r="C25" s="437"/>
      <c r="D25" s="438" t="s">
        <v>246</v>
      </c>
      <c r="E25" s="439"/>
      <c r="F25" s="440"/>
      <c r="G25" s="437"/>
      <c r="H25" s="438" t="s">
        <v>246</v>
      </c>
      <c r="I25" s="439"/>
      <c r="J25" s="440"/>
      <c r="K25" s="437"/>
      <c r="L25" s="438" t="s">
        <v>246</v>
      </c>
      <c r="M25" s="439"/>
      <c r="N25" s="440"/>
      <c r="O25" s="437"/>
      <c r="P25" s="438" t="s">
        <v>246</v>
      </c>
      <c r="Q25" s="439"/>
      <c r="R25" s="440"/>
      <c r="S25" s="437"/>
      <c r="T25" s="438" t="s">
        <v>246</v>
      </c>
      <c r="U25" s="439"/>
      <c r="V25" s="440"/>
      <c r="W25" s="441">
        <f t="shared" si="0"/>
        <v>0</v>
      </c>
      <c r="X25" s="442"/>
      <c r="Y25" s="437">
        <f t="shared" si="1"/>
        <v>0</v>
      </c>
      <c r="Z25" s="438" t="s">
        <v>246</v>
      </c>
      <c r="AA25" s="443">
        <f t="shared" si="2"/>
        <v>0</v>
      </c>
      <c r="AB25" s="444">
        <f t="shared" si="3"/>
        <v>0</v>
      </c>
      <c r="AC25" s="445"/>
      <c r="AD25" s="426">
        <f t="shared" ca="1" si="6"/>
        <v>1</v>
      </c>
      <c r="AE25" s="543" t="str">
        <f t="shared" si="5"/>
        <v>Daniil Alekankin</v>
      </c>
      <c r="AF25" s="544">
        <f ca="1">IFERROR(INDEX(Reit!$I:$I,MATCH(AE25,Reit!$F:$F,0)),"")</f>
        <v>1</v>
      </c>
    </row>
    <row r="26" spans="1:37" x14ac:dyDescent="0.2">
      <c r="A26" s="435">
        <v>19</v>
      </c>
      <c r="B26" s="446" t="s">
        <v>149</v>
      </c>
      <c r="C26" s="437"/>
      <c r="D26" s="438" t="s">
        <v>246</v>
      </c>
      <c r="E26" s="439"/>
      <c r="F26" s="440"/>
      <c r="G26" s="437"/>
      <c r="H26" s="438" t="s">
        <v>246</v>
      </c>
      <c r="I26" s="439"/>
      <c r="J26" s="440"/>
      <c r="K26" s="437"/>
      <c r="L26" s="438" t="s">
        <v>246</v>
      </c>
      <c r="M26" s="439"/>
      <c r="N26" s="440"/>
      <c r="O26" s="437"/>
      <c r="P26" s="438" t="s">
        <v>246</v>
      </c>
      <c r="Q26" s="439"/>
      <c r="R26" s="440"/>
      <c r="S26" s="437"/>
      <c r="T26" s="438" t="s">
        <v>246</v>
      </c>
      <c r="U26" s="439"/>
      <c r="V26" s="440"/>
      <c r="W26" s="441">
        <f>IF(C26&gt;E26,J$3,IF(C26&lt;E26,J$5,IF(ISNUMBER(C26),J$4,0)))+IF(G26&gt;I26,J$3,IF(G26&lt;I26,J$5,IF(ISNUMBER(G26),J$4,0)))+IF(K26&gt;M26,J$3,IF(K26&lt;M26,J$5,IF(ISNUMBER(K26),J$4,0)))+IF(O26&gt;Q26,J$3,IF(O26&lt;Q26,J$5,IF(ISNUMBER(O26),J$4,0)))+IF(S26&gt;U26,J$3,IF(S26&lt;U26,J$5,IF(ISNUMBER(S26),J$4,0)))</f>
        <v>0</v>
      </c>
      <c r="X26" s="442"/>
      <c r="Y26" s="437">
        <f>C26+G26+K26+O26+S26</f>
        <v>0</v>
      </c>
      <c r="Z26" s="438" t="s">
        <v>246</v>
      </c>
      <c r="AA26" s="443">
        <f>E26+I26+M26+Q26+U26</f>
        <v>0</v>
      </c>
      <c r="AB26" s="444">
        <f>Y26-AA26</f>
        <v>0</v>
      </c>
      <c r="AC26" s="403"/>
      <c r="AD26" s="426">
        <f t="shared" ca="1" si="6"/>
        <v>34</v>
      </c>
      <c r="AE26" s="543" t="str">
        <f t="shared" si="5"/>
        <v>Vello Vasser</v>
      </c>
      <c r="AF26" s="544">
        <f ca="1">IFERROR(INDEX(Reit!$I:$I,MATCH(AE26,Reit!$F:$F,0)),"")</f>
        <v>34</v>
      </c>
    </row>
    <row r="27" spans="1:37" x14ac:dyDescent="0.2">
      <c r="A27" s="435">
        <v>20</v>
      </c>
      <c r="B27" s="446" t="s">
        <v>135</v>
      </c>
      <c r="C27" s="437"/>
      <c r="D27" s="438" t="s">
        <v>246</v>
      </c>
      <c r="E27" s="439"/>
      <c r="F27" s="440"/>
      <c r="G27" s="437"/>
      <c r="H27" s="438" t="s">
        <v>246</v>
      </c>
      <c r="I27" s="439"/>
      <c r="J27" s="440"/>
      <c r="K27" s="437"/>
      <c r="L27" s="438" t="s">
        <v>246</v>
      </c>
      <c r="M27" s="439"/>
      <c r="N27" s="440"/>
      <c r="O27" s="437"/>
      <c r="P27" s="438" t="s">
        <v>246</v>
      </c>
      <c r="Q27" s="439"/>
      <c r="R27" s="440"/>
      <c r="S27" s="437"/>
      <c r="T27" s="438" t="s">
        <v>246</v>
      </c>
      <c r="U27" s="439"/>
      <c r="V27" s="440"/>
      <c r="W27" s="441">
        <f>IF(C27&gt;E27,J$3,IF(C27&lt;E27,J$5,IF(ISNUMBER(C27),J$4,0)))+IF(G27&gt;I27,J$3,IF(G27&lt;I27,J$5,IF(ISNUMBER(G27),J$4,0)))+IF(K27&gt;M27,J$3,IF(K27&lt;M27,J$5,IF(ISNUMBER(K27),J$4,0)))+IF(O27&gt;Q27,J$3,IF(O27&lt;Q27,J$5,IF(ISNUMBER(O27),J$4,0)))+IF(S27&gt;U27,J$3,IF(S27&lt;U27,J$5,IF(ISNUMBER(S27),J$4,0)))</f>
        <v>0</v>
      </c>
      <c r="X27" s="442"/>
      <c r="Y27" s="437">
        <f>C27+G27+K27+O27+S27</f>
        <v>0</v>
      </c>
      <c r="Z27" s="438" t="s">
        <v>246</v>
      </c>
      <c r="AA27" s="443">
        <f>E27+I27+M27+Q27+U27</f>
        <v>0</v>
      </c>
      <c r="AB27" s="444">
        <f>Y27-AA27</f>
        <v>0</v>
      </c>
      <c r="AC27" s="403"/>
      <c r="AD27" s="426">
        <f t="shared" ca="1" si="6"/>
        <v>211</v>
      </c>
      <c r="AE27" s="543" t="str">
        <f t="shared" si="5"/>
        <v>Kaspar Mänd</v>
      </c>
      <c r="AF27" s="544">
        <f ca="1">IFERROR(INDEX(Reit!$I:$I,MATCH(AE27,Reit!$F:$F,0)),"")</f>
        <v>211</v>
      </c>
    </row>
    <row r="28" spans="1:37" x14ac:dyDescent="0.2">
      <c r="A28" s="435">
        <v>21</v>
      </c>
      <c r="B28" s="446" t="s">
        <v>136</v>
      </c>
      <c r="C28" s="437"/>
      <c r="D28" s="438" t="s">
        <v>246</v>
      </c>
      <c r="E28" s="439"/>
      <c r="F28" s="440"/>
      <c r="G28" s="437"/>
      <c r="H28" s="438" t="s">
        <v>246</v>
      </c>
      <c r="I28" s="439"/>
      <c r="J28" s="440"/>
      <c r="K28" s="437"/>
      <c r="L28" s="438" t="s">
        <v>246</v>
      </c>
      <c r="M28" s="439"/>
      <c r="N28" s="440"/>
      <c r="O28" s="437"/>
      <c r="P28" s="438" t="s">
        <v>246</v>
      </c>
      <c r="Q28" s="439"/>
      <c r="R28" s="440"/>
      <c r="S28" s="437"/>
      <c r="T28" s="438" t="s">
        <v>246</v>
      </c>
      <c r="U28" s="439"/>
      <c r="V28" s="440"/>
      <c r="W28" s="441">
        <f>IF(C28&gt;E28,J$3,IF(C28&lt;E28,J$5,IF(ISNUMBER(C28),J$4,0)))+IF(G28&gt;I28,J$3,IF(G28&lt;I28,J$5,IF(ISNUMBER(G28),J$4,0)))+IF(K28&gt;M28,J$3,IF(K28&lt;M28,J$5,IF(ISNUMBER(K28),J$4,0)))+IF(O28&gt;Q28,J$3,IF(O28&lt;Q28,J$5,IF(ISNUMBER(O28),J$4,0)))+IF(S28&gt;U28,J$3,IF(S28&lt;U28,J$5,IF(ISNUMBER(S28),J$4,0)))</f>
        <v>0</v>
      </c>
      <c r="X28" s="442"/>
      <c r="Y28" s="437">
        <f>C28+G28+K28+O28+S28</f>
        <v>0</v>
      </c>
      <c r="Z28" s="438" t="s">
        <v>246</v>
      </c>
      <c r="AA28" s="443">
        <f>E28+I28+M28+Q28+U28</f>
        <v>0</v>
      </c>
      <c r="AB28" s="444">
        <f>Y28-AA28</f>
        <v>0</v>
      </c>
      <c r="AC28" s="403"/>
      <c r="AD28" s="426">
        <f t="shared" ca="1" si="6"/>
        <v>92</v>
      </c>
      <c r="AE28" s="543" t="str">
        <f t="shared" si="5"/>
        <v>Lemmit Toomra</v>
      </c>
      <c r="AF28" s="544">
        <f ca="1">IFERROR(INDEX(Reit!$I:$I,MATCH(AE28,Reit!$F:$F,0)),"")</f>
        <v>92</v>
      </c>
    </row>
    <row r="29" spans="1:37"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row>
    <row r="30" spans="1:37"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row>
    <row r="31" spans="1:37"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row>
    <row r="32" spans="1:37"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row>
    <row r="33" spans="1:37"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row>
    <row r="34" spans="1:37"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row>
    <row r="35" spans="1:37"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row>
    <row r="36" spans="1:37"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row>
    <row r="37" spans="1:37"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row>
    <row r="38" spans="1:37"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row>
    <row r="39" spans="1:37"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row>
    <row r="40" spans="1:37"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row>
    <row r="41" spans="1:37"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row>
    <row r="42" spans="1:37"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row>
    <row r="43" spans="1:37"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row>
    <row r="44" spans="1:37"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row>
    <row r="45" spans="1:37"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row>
    <row r="46" spans="1:37"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row>
    <row r="47" spans="1:37"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row>
    <row r="48" spans="1:37"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row>
    <row r="49" spans="1:32"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row>
    <row r="50" spans="1:32"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row>
    <row r="51" spans="1:32"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row>
    <row r="52" spans="1:32"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row>
    <row r="53" spans="1:32"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row>
    <row r="54" spans="1:32"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row>
    <row r="55" spans="1:32"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row>
    <row r="56" spans="1:32"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row>
    <row r="57" spans="1:32"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row>
    <row r="58" spans="1:32"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row>
    <row r="59" spans="1:32"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row>
    <row r="60" spans="1:32"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row>
    <row r="61" spans="1:32"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row>
    <row r="62" spans="1:32"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row>
    <row r="63" spans="1:32"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row>
    <row r="64" spans="1:32"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row>
    <row r="65" spans="1:32"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row>
    <row r="66" spans="1:32"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row>
    <row r="67" spans="1:32"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row>
    <row r="68" spans="1:32"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row>
    <row r="69" spans="1:32"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row>
    <row r="70" spans="1:32"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row>
    <row r="71" spans="1:32"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row>
    <row r="72" spans="1:32"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row>
    <row r="73" spans="1:32"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row>
    <row r="74" spans="1:32"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row>
    <row r="75" spans="1:32"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row>
    <row r="76" spans="1:32"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row>
    <row r="77" spans="1:32"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row>
    <row r="78" spans="1:32"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row>
    <row r="79" spans="1:32"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row>
    <row r="80" spans="1:32"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row>
    <row r="81" spans="1:32"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row>
    <row r="82" spans="1:32"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row>
    <row r="83" spans="1:32"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row>
    <row r="84" spans="1:32"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row>
    <row r="85" spans="1:32"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row>
    <row r="86" spans="1:32"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row>
    <row r="87" spans="1:32"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row>
    <row r="88" spans="1:32"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row>
    <row r="89" spans="1:32"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row>
    <row r="90" spans="1:32"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row>
    <row r="91" spans="1:32"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row>
    <row r="92" spans="1:32"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row>
    <row r="93" spans="1:32"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row>
    <row r="94" spans="1:32"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row>
    <row r="95" spans="1:32"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row>
    <row r="96" spans="1:32"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row>
    <row r="97" spans="1:32"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row>
    <row r="98" spans="1:32"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row>
    <row r="99" spans="1:32"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row>
    <row r="100" spans="1:32"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row>
    <row r="101" spans="1:32"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row>
    <row r="102" spans="1:32"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row>
    <row r="103" spans="1:32"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row>
    <row r="104" spans="1:32"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row>
    <row r="105" spans="1:32"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row>
    <row r="106" spans="1:32"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row>
    <row r="107" spans="1:32"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row>
    <row r="108" spans="1:32"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row>
    <row r="109" spans="1:32"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row>
    <row r="110" spans="1:32"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row>
    <row r="111" spans="1:32"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row>
    <row r="112" spans="1:32"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row>
    <row r="113" spans="1:32"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row>
    <row r="114" spans="1:32"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row>
    <row r="115" spans="1:32"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row>
    <row r="116" spans="1:32"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row>
    <row r="117" spans="1:32"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row>
    <row r="118" spans="1:32"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row>
    <row r="119" spans="1:32"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row>
    <row r="120" spans="1:32"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row>
    <row r="121" spans="1:32"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row>
    <row r="122" spans="1:32"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row>
    <row r="123" spans="1:32"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row>
    <row r="124" spans="1:32"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row>
    <row r="125" spans="1:32"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row>
    <row r="126" spans="1:32"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row>
    <row r="127" spans="1:32"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row>
    <row r="128" spans="1:32"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row>
    <row r="129" spans="1:32"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row>
    <row r="130" spans="1:32"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row>
    <row r="131" spans="1:32"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row>
    <row r="132" spans="1:32"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row>
    <row r="133" spans="1:32"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row>
    <row r="134" spans="1:32"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row>
    <row r="135" spans="1:32"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row>
    <row r="136" spans="1:32"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row>
    <row r="137" spans="1:32" hidden="1"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row>
    <row r="138" spans="1:32" hidden="1"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row>
    <row r="139" spans="1:32" hidden="1"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row>
    <row r="140" spans="1:32" hidden="1"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row>
    <row r="141" spans="1:32"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row>
    <row r="142" spans="1:32"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row>
    <row r="143" spans="1:32"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row>
    <row r="144" spans="1:32"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row>
    <row r="145" spans="1:32"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row>
    <row r="146" spans="1:32"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row>
    <row r="147" spans="1:32"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row>
    <row r="148" spans="1:32"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row>
    <row r="149" spans="1:32"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row>
    <row r="150" spans="1:32"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row>
    <row r="151" spans="1:32"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03"/>
      <c r="AE151" s="403"/>
      <c r="AF151" s="403"/>
    </row>
    <row r="152" spans="1:32"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03"/>
      <c r="AE152" s="403"/>
      <c r="AF152" s="403"/>
    </row>
    <row r="153" spans="1:32" hidden="1"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c r="AD153" s="403"/>
      <c r="AE153" s="403"/>
      <c r="AF153" s="403"/>
    </row>
    <row r="154" spans="1:32" hidden="1" x14ac:dyDescent="0.2">
      <c r="A154" s="403"/>
      <c r="B154" s="403"/>
      <c r="C154" s="403"/>
      <c r="D154" s="403"/>
      <c r="E154" s="403"/>
      <c r="F154" s="403"/>
      <c r="G154" s="403"/>
      <c r="H154" s="403"/>
      <c r="I154" s="403"/>
      <c r="J154" s="403"/>
      <c r="K154" s="403"/>
      <c r="L154" s="407"/>
      <c r="M154" s="407"/>
      <c r="N154" s="407"/>
      <c r="O154" s="403"/>
      <c r="P154" s="403"/>
      <c r="Q154" s="403"/>
      <c r="R154" s="403"/>
      <c r="S154" s="403"/>
      <c r="T154" s="407"/>
      <c r="U154" s="407"/>
      <c r="V154" s="407"/>
      <c r="W154" s="403"/>
      <c r="X154" s="403"/>
      <c r="Y154" s="403"/>
      <c r="Z154" s="403"/>
      <c r="AA154" s="403"/>
      <c r="AB154" s="403"/>
      <c r="AC154" s="403"/>
      <c r="AD154" s="403"/>
      <c r="AE154" s="403"/>
      <c r="AF154" s="403"/>
    </row>
    <row r="155" spans="1:32" hidden="1" x14ac:dyDescent="0.2">
      <c r="A155" s="403"/>
      <c r="B155" s="403"/>
      <c r="C155" s="403"/>
      <c r="D155" s="403"/>
      <c r="E155" s="403"/>
      <c r="F155" s="403"/>
      <c r="G155" s="403"/>
      <c r="H155" s="403"/>
      <c r="I155" s="403"/>
      <c r="J155" s="403"/>
      <c r="K155" s="403"/>
      <c r="L155" s="407"/>
      <c r="M155" s="407"/>
      <c r="N155" s="407"/>
      <c r="O155" s="403"/>
      <c r="P155" s="403"/>
      <c r="Q155" s="403"/>
      <c r="R155" s="403"/>
      <c r="S155" s="403"/>
      <c r="T155" s="407"/>
      <c r="U155" s="407"/>
      <c r="V155" s="407"/>
      <c r="W155" s="403"/>
      <c r="X155" s="403"/>
      <c r="Y155" s="403"/>
      <c r="Z155" s="403"/>
      <c r="AA155" s="403"/>
      <c r="AB155" s="403"/>
      <c r="AC155" s="403"/>
      <c r="AD155" s="403"/>
      <c r="AE155" s="403"/>
      <c r="AF155" s="403"/>
    </row>
    <row r="156" spans="1:32" hidden="1" x14ac:dyDescent="0.2">
      <c r="A156" s="403"/>
      <c r="B156" s="403"/>
      <c r="C156" s="403"/>
      <c r="D156" s="403"/>
      <c r="E156" s="403"/>
      <c r="F156" s="403"/>
      <c r="G156" s="403"/>
      <c r="H156" s="403"/>
      <c r="I156" s="403"/>
      <c r="J156" s="403"/>
      <c r="K156" s="403"/>
      <c r="L156" s="407"/>
      <c r="M156" s="407"/>
      <c r="N156" s="407"/>
      <c r="O156" s="403"/>
      <c r="P156" s="403"/>
      <c r="Q156" s="403"/>
      <c r="R156" s="403"/>
      <c r="S156" s="403"/>
      <c r="T156" s="407"/>
      <c r="U156" s="407"/>
      <c r="V156" s="407"/>
      <c r="W156" s="403"/>
      <c r="X156" s="403"/>
      <c r="Y156" s="403"/>
      <c r="Z156" s="403"/>
      <c r="AA156" s="403"/>
      <c r="AB156" s="403"/>
      <c r="AC156" s="403"/>
      <c r="AD156" s="403"/>
      <c r="AE156" s="403"/>
      <c r="AF156" s="403"/>
    </row>
    <row r="157" spans="1:32"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row>
    <row r="158" spans="1:32"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row>
    <row r="159" spans="1:32"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row>
    <row r="160" spans="1:32"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row>
    <row r="161" spans="1:32"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row>
    <row r="162" spans="1:32"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row>
    <row r="163" spans="1:32"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row>
    <row r="164" spans="1:32"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row>
    <row r="165" spans="1:32"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row>
    <row r="166" spans="1:32" hidden="1"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row>
    <row r="167" spans="1:32" hidden="1"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row>
    <row r="168" spans="1:32" hidden="1"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row>
    <row r="169" spans="1:32" hidden="1"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row>
    <row r="170" spans="1:32"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row>
    <row r="171" spans="1:32"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row>
    <row r="172" spans="1:32"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row>
    <row r="173" spans="1:32"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row>
    <row r="174" spans="1:32"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row>
    <row r="175" spans="1:32"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row>
    <row r="176" spans="1:32"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row>
    <row r="177" spans="1:32"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row>
    <row r="178" spans="1:32"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row>
    <row r="179" spans="1:32"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row>
    <row r="180" spans="1:32"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row>
    <row r="181" spans="1:32"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row>
    <row r="182" spans="1:32"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row>
    <row r="183" spans="1:32"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row>
    <row r="184" spans="1:32"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row>
    <row r="185" spans="1:32"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row>
    <row r="186" spans="1:32"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row>
    <row r="187" spans="1:32"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row>
    <row r="188" spans="1:32"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row>
    <row r="189" spans="1:32"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row>
    <row r="190" spans="1:32"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row>
    <row r="191" spans="1:32"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row>
    <row r="192" spans="1:32"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row>
    <row r="193" spans="1:32"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row>
    <row r="194" spans="1:32"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row>
    <row r="195" spans="1:32"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row>
    <row r="196" spans="1:32"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row>
    <row r="197" spans="1:32"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row>
    <row r="198" spans="1:32"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row>
    <row r="199" spans="1:32"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row>
    <row r="200" spans="1:32"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row>
    <row r="201" spans="1:32"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row>
    <row r="202" spans="1:32"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row>
    <row r="203" spans="1:32"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row>
    <row r="204" spans="1:32"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row>
    <row r="205" spans="1:32"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row>
    <row r="206" spans="1:32"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row>
    <row r="207" spans="1:32"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row>
    <row r="208" spans="1:32"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row>
    <row r="209" spans="1:32"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row>
    <row r="210" spans="1:32"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row>
    <row r="211" spans="1:32"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row>
    <row r="212" spans="1:32"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row>
    <row r="213" spans="1:32"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row>
    <row r="214" spans="1:32"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row>
    <row r="215" spans="1:32"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row>
    <row r="216" spans="1:32"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row>
    <row r="217" spans="1:32"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row>
    <row r="218" spans="1:32"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row>
    <row r="219" spans="1:32"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row>
    <row r="220" spans="1:32"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row>
    <row r="221" spans="1:32"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row>
    <row r="222" spans="1:32"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row>
    <row r="223" spans="1:32"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row>
    <row r="224" spans="1:32"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row>
    <row r="225" spans="1:32"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row>
    <row r="226" spans="1:32"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row>
    <row r="227" spans="1:32"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row>
    <row r="228" spans="1:32"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row>
    <row r="229" spans="1:32"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row>
    <row r="230" spans="1:32"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row>
    <row r="231" spans="1:32"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row>
    <row r="232" spans="1:32"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row>
    <row r="233" spans="1:32"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row>
    <row r="234" spans="1:32"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row>
    <row r="235" spans="1:32"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row>
    <row r="236" spans="1:32"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row>
    <row r="237" spans="1:32"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row>
    <row r="238" spans="1:32"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row>
    <row r="239" spans="1:32"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row>
    <row r="240" spans="1:32"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row>
    <row r="241" spans="1:32"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row>
    <row r="242" spans="1:32"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row>
    <row r="243" spans="1:32"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row>
    <row r="244" spans="1:32"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row>
    <row r="245" spans="1:32"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row>
    <row r="246" spans="1:32"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row>
    <row r="247" spans="1:32"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row>
    <row r="248" spans="1:32"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row>
    <row r="249" spans="1:32"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row>
    <row r="250" spans="1:32"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row>
    <row r="251" spans="1:32"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row>
    <row r="252" spans="1:32"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row>
    <row r="253" spans="1:32"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row>
    <row r="254" spans="1:32"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row>
    <row r="255" spans="1:32"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row>
    <row r="256" spans="1:32"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row>
    <row r="257" spans="1:32"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row>
    <row r="258" spans="1:32"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row>
    <row r="259" spans="1:32"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row>
    <row r="260" spans="1:32"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row>
    <row r="261" spans="1:32"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row>
    <row r="262" spans="1:32"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row>
    <row r="263" spans="1:32"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row>
    <row r="264" spans="1:32"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row>
    <row r="265" spans="1:32"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row>
    <row r="266" spans="1:32"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row>
    <row r="267" spans="1:32"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row>
    <row r="268" spans="1:32"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row>
    <row r="269" spans="1:32"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row>
    <row r="270" spans="1:32"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row>
    <row r="271" spans="1:32"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row>
    <row r="272" spans="1:32"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row>
    <row r="273" spans="1:32"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row>
    <row r="274" spans="1:32"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row>
    <row r="275" spans="1:32"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row>
    <row r="276" spans="1:32"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row>
    <row r="277" spans="1:32"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row>
    <row r="278" spans="1:32"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row>
    <row r="279" spans="1:32"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row>
    <row r="280" spans="1:32"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row>
    <row r="281" spans="1:32"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row>
    <row r="282" spans="1:32"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row>
    <row r="283" spans="1:32"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row>
    <row r="284" spans="1:32"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row>
    <row r="285" spans="1:32"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row>
    <row r="286" spans="1:32"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row>
    <row r="287" spans="1:32"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03"/>
      <c r="AE287" s="403"/>
      <c r="AF287" s="403"/>
    </row>
    <row r="288" spans="1:32"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03"/>
      <c r="AE288" s="403"/>
      <c r="AF288" s="403"/>
    </row>
    <row r="289" spans="1:32" hidden="1"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c r="AD289" s="403"/>
      <c r="AE289" s="403"/>
      <c r="AF289" s="403"/>
    </row>
    <row r="290" spans="1:32" hidden="1" x14ac:dyDescent="0.2">
      <c r="A290" s="403"/>
      <c r="B290" s="403"/>
      <c r="C290" s="403"/>
      <c r="D290" s="403"/>
      <c r="E290" s="403"/>
      <c r="F290" s="403"/>
      <c r="G290" s="403"/>
      <c r="H290" s="403"/>
      <c r="I290" s="403"/>
      <c r="J290" s="403"/>
      <c r="K290" s="403"/>
      <c r="L290" s="407"/>
      <c r="M290" s="407"/>
      <c r="N290" s="407"/>
      <c r="O290" s="403"/>
      <c r="P290" s="403"/>
      <c r="Q290" s="403"/>
      <c r="R290" s="403"/>
      <c r="S290" s="403"/>
      <c r="T290" s="407"/>
      <c r="U290" s="407"/>
      <c r="V290" s="407"/>
      <c r="W290" s="403"/>
      <c r="X290" s="403"/>
      <c r="Y290" s="403"/>
      <c r="Z290" s="403"/>
      <c r="AA290" s="403"/>
      <c r="AB290" s="403"/>
      <c r="AC290" s="403"/>
      <c r="AD290" s="403"/>
      <c r="AE290" s="403"/>
      <c r="AF290" s="403"/>
    </row>
    <row r="291" spans="1:32" hidden="1" x14ac:dyDescent="0.2">
      <c r="A291" s="403"/>
      <c r="B291" s="403"/>
      <c r="C291" s="403"/>
      <c r="D291" s="403"/>
      <c r="E291" s="403"/>
      <c r="F291" s="403"/>
      <c r="G291" s="403"/>
      <c r="H291" s="403"/>
      <c r="I291" s="403"/>
      <c r="J291" s="403"/>
      <c r="K291" s="403"/>
      <c r="L291" s="407"/>
      <c r="M291" s="407"/>
      <c r="N291" s="407"/>
      <c r="O291" s="403"/>
      <c r="P291" s="403"/>
      <c r="Q291" s="403"/>
      <c r="R291" s="403"/>
      <c r="S291" s="403"/>
      <c r="T291" s="407"/>
      <c r="U291" s="407"/>
      <c r="V291" s="407"/>
      <c r="W291" s="403"/>
      <c r="X291" s="403"/>
      <c r="Y291" s="403"/>
      <c r="Z291" s="403"/>
      <c r="AA291" s="403"/>
      <c r="AB291" s="403"/>
      <c r="AC291" s="403"/>
      <c r="AD291" s="403"/>
      <c r="AE291" s="403"/>
      <c r="AF291" s="403"/>
    </row>
    <row r="292" spans="1:32" hidden="1" x14ac:dyDescent="0.2">
      <c r="A292" s="403"/>
      <c r="B292" s="403"/>
      <c r="C292" s="403"/>
      <c r="D292" s="403"/>
      <c r="E292" s="403"/>
      <c r="F292" s="403"/>
      <c r="G292" s="403"/>
      <c r="H292" s="403"/>
      <c r="I292" s="403"/>
      <c r="J292" s="403"/>
      <c r="K292" s="403"/>
      <c r="L292" s="407"/>
      <c r="M292" s="407"/>
      <c r="N292" s="407"/>
      <c r="O292" s="403"/>
      <c r="P292" s="403"/>
      <c r="Q292" s="403"/>
      <c r="R292" s="403"/>
      <c r="S292" s="403"/>
      <c r="T292" s="407"/>
      <c r="U292" s="407"/>
      <c r="V292" s="407"/>
      <c r="W292" s="403"/>
      <c r="X292" s="403"/>
      <c r="Y292" s="403"/>
      <c r="Z292" s="403"/>
      <c r="AA292" s="403"/>
      <c r="AB292" s="403"/>
      <c r="AC292" s="403"/>
      <c r="AD292" s="403"/>
      <c r="AE292" s="403"/>
      <c r="AF292" s="403"/>
    </row>
    <row r="293" spans="1:32" hidden="1" x14ac:dyDescent="0.2">
      <c r="D293" s="448"/>
      <c r="E293" s="448"/>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row>
    <row r="294" spans="1:32" hidden="1" x14ac:dyDescent="0.2">
      <c r="D294" s="452"/>
      <c r="E294" s="452"/>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row>
    <row r="295" spans="1:32"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53"/>
      <c r="X295" s="403"/>
      <c r="Y295" s="403"/>
      <c r="Z295" s="403"/>
      <c r="AA295" s="403"/>
      <c r="AB295" s="403"/>
      <c r="AC295" s="403"/>
      <c r="AD295" s="403"/>
      <c r="AE295" s="403"/>
      <c r="AF295" s="403"/>
    </row>
    <row r="296" spans="1:32"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row>
    <row r="297" spans="1:32"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row>
    <row r="298" spans="1:32" x14ac:dyDescent="0.2">
      <c r="D298" s="404"/>
      <c r="E298" s="404"/>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row>
    <row r="299" spans="1:32" x14ac:dyDescent="0.2">
      <c r="A299" s="403"/>
      <c r="B299" s="403"/>
      <c r="C299" s="447" t="s">
        <v>69</v>
      </c>
      <c r="D299" s="404"/>
      <c r="E299" s="404"/>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row>
    <row r="300" spans="1:32" x14ac:dyDescent="0.2">
      <c r="A300" s="449">
        <v>1</v>
      </c>
      <c r="B300" s="450" t="str">
        <f t="shared" ref="B300:B317" si="7">IFERROR(INDEX(B$1:B$94,MATCH(A300,A$1:A$94,0)),"")</f>
        <v>Ivar Viljaste</v>
      </c>
      <c r="C300" s="981">
        <v>40</v>
      </c>
      <c r="D300" s="621"/>
      <c r="E300" s="404"/>
      <c r="F300" s="403"/>
      <c r="G300" s="403"/>
      <c r="H300" s="403"/>
      <c r="I300" s="403"/>
      <c r="J300" s="403"/>
      <c r="K300" s="403"/>
      <c r="L300" s="403"/>
      <c r="M300" s="403"/>
      <c r="N300" s="403"/>
      <c r="O300" s="403"/>
      <c r="P300" s="403"/>
      <c r="Q300" s="403"/>
      <c r="R300" s="403"/>
      <c r="S300" s="403"/>
      <c r="T300" s="403"/>
      <c r="U300" s="403"/>
      <c r="V300" s="403"/>
      <c r="W300" s="453"/>
      <c r="X300" s="403"/>
      <c r="Y300" s="403"/>
      <c r="Z300" s="403"/>
      <c r="AA300" s="403"/>
      <c r="AB300" s="403"/>
      <c r="AC300" s="403"/>
      <c r="AD300" s="403"/>
      <c r="AE300" s="403"/>
      <c r="AF300" s="403"/>
    </row>
    <row r="301" spans="1:32" x14ac:dyDescent="0.2">
      <c r="A301" s="449">
        <v>2</v>
      </c>
      <c r="B301" s="450" t="str">
        <f t="shared" si="7"/>
        <v>Aarne Välja</v>
      </c>
      <c r="C301" s="981">
        <v>34</v>
      </c>
      <c r="D301" s="621"/>
      <c r="E301" s="404"/>
      <c r="F301" s="403"/>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row>
    <row r="302" spans="1:32" x14ac:dyDescent="0.2">
      <c r="A302" s="449">
        <v>3</v>
      </c>
      <c r="B302" s="450" t="str">
        <f t="shared" si="7"/>
        <v>Matti Vinni</v>
      </c>
      <c r="C302" s="981">
        <v>30</v>
      </c>
      <c r="D302" s="621"/>
      <c r="E302" s="404"/>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row>
    <row r="303" spans="1:32" x14ac:dyDescent="0.2">
      <c r="A303" s="449">
        <v>4</v>
      </c>
      <c r="B303" s="450" t="str">
        <f t="shared" si="7"/>
        <v>Oleg Rõndenkov</v>
      </c>
      <c r="C303" s="981">
        <v>26</v>
      </c>
      <c r="D303" s="621"/>
      <c r="E303" s="404"/>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row>
    <row r="304" spans="1:32" x14ac:dyDescent="0.2">
      <c r="A304" s="449">
        <v>5</v>
      </c>
      <c r="B304" s="450" t="str">
        <f t="shared" si="7"/>
        <v>Vladimir Ogneštšikov</v>
      </c>
      <c r="C304" s="981">
        <v>24</v>
      </c>
      <c r="D304" s="451"/>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row>
    <row r="305" spans="1:32" x14ac:dyDescent="0.2">
      <c r="A305" s="449">
        <v>6</v>
      </c>
      <c r="B305" s="450" t="str">
        <f t="shared" si="7"/>
        <v>Olav Türk</v>
      </c>
      <c r="C305" s="981">
        <v>22</v>
      </c>
      <c r="D305" s="451"/>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row>
    <row r="306" spans="1:32" x14ac:dyDescent="0.2">
      <c r="A306" s="449">
        <v>7</v>
      </c>
      <c r="B306" s="450" t="str">
        <f t="shared" si="7"/>
        <v>Andrei Grintšak</v>
      </c>
      <c r="C306" s="981">
        <v>20</v>
      </c>
      <c r="D306" s="451"/>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c r="AA306" s="403"/>
      <c r="AB306" s="403"/>
      <c r="AC306" s="403"/>
      <c r="AD306" s="403"/>
      <c r="AE306" s="403"/>
      <c r="AF306" s="403"/>
    </row>
    <row r="307" spans="1:32" x14ac:dyDescent="0.2">
      <c r="A307" s="449">
        <v>8</v>
      </c>
      <c r="B307" s="450" t="str">
        <f t="shared" si="7"/>
        <v>Ljudmila Varendi</v>
      </c>
      <c r="C307" s="981">
        <v>18</v>
      </c>
      <c r="D307" s="461"/>
    </row>
    <row r="308" spans="1:32" x14ac:dyDescent="0.2">
      <c r="A308" s="449">
        <v>9</v>
      </c>
      <c r="B308" s="450" t="str">
        <f t="shared" si="7"/>
        <v>Jaan Sepp</v>
      </c>
      <c r="C308" s="981">
        <v>16</v>
      </c>
      <c r="D308" s="461"/>
    </row>
    <row r="309" spans="1:32" x14ac:dyDescent="0.2">
      <c r="A309" s="449">
        <v>10</v>
      </c>
      <c r="B309" s="450" t="str">
        <f t="shared" si="7"/>
        <v>Janek Tarto</v>
      </c>
      <c r="C309" s="621">
        <v>14</v>
      </c>
      <c r="D309" s="461"/>
    </row>
    <row r="310" spans="1:32" x14ac:dyDescent="0.2">
      <c r="A310" s="449">
        <v>11</v>
      </c>
      <c r="B310" s="450" t="str">
        <f t="shared" si="7"/>
        <v>Marta Bernat</v>
      </c>
      <c r="C310" s="621">
        <v>12</v>
      </c>
      <c r="D310" s="461"/>
    </row>
    <row r="311" spans="1:32" x14ac:dyDescent="0.2">
      <c r="A311" s="449">
        <v>12</v>
      </c>
      <c r="B311" s="450" t="str">
        <f t="shared" si="7"/>
        <v>Viktor Švarõgin</v>
      </c>
      <c r="C311" s="621">
        <v>10</v>
      </c>
      <c r="D311" s="461"/>
    </row>
    <row r="312" spans="1:32" x14ac:dyDescent="0.2">
      <c r="A312" s="449">
        <v>13</v>
      </c>
      <c r="B312" s="450" t="str">
        <f t="shared" si="7"/>
        <v>Boriss Klubov</v>
      </c>
      <c r="C312" s="621">
        <v>8</v>
      </c>
      <c r="D312" s="461"/>
    </row>
    <row r="313" spans="1:32" x14ac:dyDescent="0.2">
      <c r="A313" s="449">
        <v>14</v>
      </c>
      <c r="B313" s="450" t="str">
        <f t="shared" si="7"/>
        <v>Henri Mitt</v>
      </c>
      <c r="C313" s="621">
        <v>6</v>
      </c>
      <c r="D313" s="461"/>
    </row>
    <row r="314" spans="1:32" x14ac:dyDescent="0.2">
      <c r="A314" s="449">
        <v>15</v>
      </c>
      <c r="B314" s="450" t="str">
        <f t="shared" si="7"/>
        <v>Elmo Lageda</v>
      </c>
      <c r="C314" s="621">
        <v>4</v>
      </c>
      <c r="D314" s="461"/>
    </row>
    <row r="315" spans="1:32" x14ac:dyDescent="0.2">
      <c r="A315" s="449">
        <v>16</v>
      </c>
      <c r="B315" s="450" t="str">
        <f t="shared" si="7"/>
        <v>Oskar Sepp</v>
      </c>
      <c r="C315" s="621">
        <v>2</v>
      </c>
      <c r="D315" s="461"/>
    </row>
    <row r="316" spans="1:32" x14ac:dyDescent="0.2">
      <c r="A316" s="449">
        <v>17</v>
      </c>
      <c r="B316" s="450" t="str">
        <f t="shared" si="7"/>
        <v>Andres Veski</v>
      </c>
      <c r="C316" s="621">
        <v>1</v>
      </c>
      <c r="D316" s="461"/>
    </row>
    <row r="317" spans="1:32" x14ac:dyDescent="0.2">
      <c r="A317" s="449">
        <v>18</v>
      </c>
      <c r="B317" s="450" t="str">
        <f t="shared" si="7"/>
        <v>Daniil Alekankin</v>
      </c>
      <c r="C317" s="621">
        <v>1</v>
      </c>
      <c r="D317" s="461"/>
    </row>
    <row r="318" spans="1:32" x14ac:dyDescent="0.2">
      <c r="A318" s="449">
        <v>19</v>
      </c>
      <c r="B318" s="450" t="str">
        <f>IFERROR(INDEX(B$1:B$94,MATCH(A318,A$1:A$94,0)),"")</f>
        <v>Vello Vasser</v>
      </c>
      <c r="C318" s="621">
        <v>1</v>
      </c>
    </row>
    <row r="319" spans="1:32" x14ac:dyDescent="0.2">
      <c r="A319" s="449">
        <v>20</v>
      </c>
      <c r="B319" s="450" t="str">
        <f>IFERROR(INDEX(B$1:B$94,MATCH(A319,A$1:A$94,0)),"")</f>
        <v>Kaspar Mänd</v>
      </c>
      <c r="C319" s="621">
        <v>1</v>
      </c>
    </row>
    <row r="320" spans="1:32" x14ac:dyDescent="0.2">
      <c r="A320" s="449">
        <v>21</v>
      </c>
      <c r="B320" s="450" t="str">
        <f>IFERROR(INDEX(B$1:B$94,MATCH(A320,A$1:A$94,0)),"")</f>
        <v>Lemmit Toomra</v>
      </c>
      <c r="C320" s="621">
        <v>1</v>
      </c>
    </row>
  </sheetData>
  <conditionalFormatting sqref="C8:C28">
    <cfRule type="expression" dxfId="2150" priority="29">
      <formula>IF($C8&gt;$E8,TRUE)</formula>
    </cfRule>
  </conditionalFormatting>
  <conditionalFormatting sqref="E8:E28">
    <cfRule type="expression" dxfId="2149" priority="30">
      <formula>IF($C8&lt;$E8,TRUE)</formula>
    </cfRule>
  </conditionalFormatting>
  <conditionalFormatting sqref="K8:K28">
    <cfRule type="expression" dxfId="2148" priority="37">
      <formula>IF($K8&gt;$M8,TRUE)</formula>
    </cfRule>
  </conditionalFormatting>
  <conditionalFormatting sqref="M8:M28">
    <cfRule type="expression" dxfId="2147" priority="38">
      <formula>IF($K8&lt;$M8,TRUE)</formula>
    </cfRule>
  </conditionalFormatting>
  <conditionalFormatting sqref="O8:O28">
    <cfRule type="expression" dxfId="2146" priority="41">
      <formula>IF($O8&gt;$Q8,TRUE)</formula>
    </cfRule>
  </conditionalFormatting>
  <conditionalFormatting sqref="Q8:Q28">
    <cfRule type="expression" dxfId="2145" priority="42">
      <formula>IF($O8&lt;$Q8,TRUE)</formula>
    </cfRule>
  </conditionalFormatting>
  <conditionalFormatting sqref="S8:S28">
    <cfRule type="expression" dxfId="2144" priority="45">
      <formula>IF($S8&gt;$U8,TRUE)</formula>
    </cfRule>
  </conditionalFormatting>
  <conditionalFormatting sqref="U8:U28">
    <cfRule type="expression" dxfId="2143" priority="46">
      <formula>IF($S8&lt;$U8,TRUE)</formula>
    </cfRule>
  </conditionalFormatting>
  <conditionalFormatting sqref="G8:G28">
    <cfRule type="expression" dxfId="2142" priority="33">
      <formula>IF($G8&gt;$I8,TRUE)</formula>
    </cfRule>
  </conditionalFormatting>
  <conditionalFormatting sqref="I8:I28">
    <cfRule type="expression" dxfId="2141" priority="34">
      <formula>IF($G8&lt;$I8,TRUE)</formula>
    </cfRule>
  </conditionalFormatting>
  <conditionalFormatting sqref="F8:F28">
    <cfRule type="containsText" dxfId="2140" priority="20" operator="containsText" text="vaba voor">
      <formula>NOT(ISERROR(SEARCH("vaba voor",F8)))</formula>
    </cfRule>
  </conditionalFormatting>
  <conditionalFormatting sqref="N8:N28">
    <cfRule type="containsText" dxfId="2139" priority="18" operator="containsText" text="vaba voor">
      <formula>NOT(ISERROR(SEARCH("vaba voor",N8)))</formula>
    </cfRule>
  </conditionalFormatting>
  <conditionalFormatting sqref="R8:R28">
    <cfRule type="containsText" dxfId="2138" priority="21" operator="containsText" text="vaba voor">
      <formula>NOT(ISERROR(SEARCH("vaba voor",R8)))</formula>
    </cfRule>
  </conditionalFormatting>
  <conditionalFormatting sqref="V8:V28">
    <cfRule type="containsText" dxfId="2137" priority="17" operator="containsText" text="vaba voor">
      <formula>NOT(ISERROR(SEARCH("vaba voor",V8)))</formula>
    </cfRule>
  </conditionalFormatting>
  <conditionalFormatting sqref="J8:J28">
    <cfRule type="containsText" dxfId="2136" priority="19" operator="containsText" text="vaba voor">
      <formula>NOT(ISERROR(SEARCH("vaba voor",J8)))</formula>
    </cfRule>
  </conditionalFormatting>
  <conditionalFormatting sqref="C8:F28">
    <cfRule type="expression" dxfId="2135" priority="25">
      <formula>IF(AND(ISNUMBER($C8),$C8=$E8),TRUE)</formula>
    </cfRule>
    <cfRule type="expression" dxfId="2134" priority="27">
      <formula>IF($C8&gt;$E8,TRUE)</formula>
    </cfRule>
    <cfRule type="expression" dxfId="2133" priority="28">
      <formula>IF($C8&lt;$E8,TRUE)</formula>
    </cfRule>
  </conditionalFormatting>
  <conditionalFormatting sqref="G8:J28">
    <cfRule type="expression" dxfId="2132" priority="26">
      <formula>IF(AND(ISNUMBER($G8),$G8=$I8),TRUE)</formula>
    </cfRule>
    <cfRule type="expression" dxfId="2131" priority="31">
      <formula>IF($G8&gt;$I8,TRUE)</formula>
    </cfRule>
    <cfRule type="expression" dxfId="2130" priority="32">
      <formula>IF($G8&lt;$I8,TRUE)</formula>
    </cfRule>
  </conditionalFormatting>
  <conditionalFormatting sqref="K8:N28">
    <cfRule type="expression" dxfId="2129" priority="24">
      <formula>IF(AND(ISNUMBER($K8),$K8=$M8),TRUE)</formula>
    </cfRule>
    <cfRule type="expression" dxfId="2128" priority="35">
      <formula>IF($K8&gt;$M8,TRUE)</formula>
    </cfRule>
    <cfRule type="expression" dxfId="2127" priority="36">
      <formula>IF($K8&lt;$M8,TRUE)</formula>
    </cfRule>
  </conditionalFormatting>
  <conditionalFormatting sqref="O8:R28">
    <cfRule type="expression" dxfId="2126" priority="23">
      <formula>IF(AND(ISNUMBER($O8),$O8=$Q8),TRUE)</formula>
    </cfRule>
    <cfRule type="expression" dxfId="2125" priority="39">
      <formula>IF($O8&gt;$Q8,TRUE)</formula>
    </cfRule>
    <cfRule type="expression" dxfId="2124" priority="40">
      <formula>IF($O8&lt;$Q8,TRUE)</formula>
    </cfRule>
  </conditionalFormatting>
  <conditionalFormatting sqref="S8:V28">
    <cfRule type="expression" dxfId="2123" priority="22">
      <formula>IF(AND(ISNUMBER($S8),$S8=$U8),TRUE)</formula>
    </cfRule>
    <cfRule type="expression" dxfId="2122" priority="43">
      <formula>IF($S8&gt;$U8,TRUE)</formula>
    </cfRule>
    <cfRule type="expression" dxfId="2121" priority="44">
      <formula>IF($S8&lt;$U8,TRUE)</formula>
    </cfRule>
  </conditionalFormatting>
  <conditionalFormatting sqref="C8:C28 G8:G28 K8:K28 O8:O28 S8:S28">
    <cfRule type="expression" dxfId="2120" priority="16">
      <formula>AND(C8=0,E8=13)</formula>
    </cfRule>
  </conditionalFormatting>
  <conditionalFormatting sqref="A8:A28">
    <cfRule type="duplicateValues" dxfId="2119" priority="457"/>
  </conditionalFormatting>
  <conditionalFormatting sqref="A300:A320">
    <cfRule type="duplicateValues" dxfId="2118" priority="458"/>
  </conditionalFormatting>
  <conditionalFormatting sqref="B300:B320">
    <cfRule type="expression" dxfId="2117" priority="464">
      <formula>A300=3</formula>
    </cfRule>
    <cfRule type="expression" dxfId="2116" priority="465">
      <formula>A300=2</formula>
    </cfRule>
    <cfRule type="expression" dxfId="2115" priority="466">
      <formula>A300=1</formula>
    </cfRule>
    <cfRule type="containsBlanks" dxfId="2114" priority="467">
      <formula>LEN(TRIM(B300))=0</formula>
    </cfRule>
    <cfRule type="duplicateValues" dxfId="2113" priority="468"/>
  </conditionalFormatting>
  <conditionalFormatting sqref="AE8:AE28">
    <cfRule type="expression" dxfId="2112" priority="1">
      <formula>AND(AF8="",COUNTIF(AE8,"*,*")=0)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L323"/>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18.71093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8.7109375" hidden="1" customWidth="1"/>
    <col min="32" max="32" width="9.140625" hidden="1" customWidth="1"/>
  </cols>
  <sheetData>
    <row r="1" spans="1:32" x14ac:dyDescent="0.2">
      <c r="A1" s="462" t="str">
        <f>UPPER((Kalend!E18)&amp;" - "&amp;(Kalend!C18)&amp;" - "&amp;(Kalend!D18))</f>
        <v>7 - TOILA VALLA LAHTISED MV - ÜKSIK</v>
      </c>
      <c r="B1" s="403"/>
      <c r="C1" s="404"/>
      <c r="D1" s="403"/>
      <c r="E1" s="403"/>
      <c r="K1" s="405"/>
      <c r="L1" s="406"/>
      <c r="M1" s="407"/>
      <c r="N1" s="407"/>
      <c r="O1" s="403"/>
      <c r="P1" s="403"/>
      <c r="Q1" s="405"/>
      <c r="R1" s="405"/>
      <c r="S1" s="405"/>
      <c r="T1" s="406"/>
      <c r="U1" s="406"/>
      <c r="V1" s="406"/>
      <c r="W1" s="403"/>
      <c r="X1" s="408"/>
      <c r="Y1" s="403"/>
      <c r="Z1" s="403"/>
      <c r="AA1" s="403"/>
      <c r="AB1" s="403"/>
      <c r="AD1" s="176" t="s">
        <v>68</v>
      </c>
      <c r="AE1" s="536"/>
      <c r="AF1" s="536"/>
    </row>
    <row r="2" spans="1:32" x14ac:dyDescent="0.2">
      <c r="A2" s="409" t="str">
        <f>"Toimumisaeg: "&amp;(Kalend!A18)&amp;" kell "&amp;(Kalend!B18)</f>
        <v>Toimumisaeg: L, 19.06.2021 kell 11:00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row>
    <row r="3" spans="1:32" x14ac:dyDescent="0.2">
      <c r="A3" s="409" t="str">
        <f>"Toimumiskoht: "&amp;(Kalend!F18)</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row>
    <row r="4" spans="1:32" x14ac:dyDescent="0.2">
      <c r="A4" s="409" t="str">
        <f>"Korraldaja: "&amp;(Kalend!G18)</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537" t="s">
        <v>231</v>
      </c>
      <c r="AF4" s="409"/>
    </row>
    <row r="5" spans="1:3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538" t="s">
        <v>287</v>
      </c>
      <c r="AE5" s="540" t="s">
        <v>93</v>
      </c>
      <c r="AF5" s="539"/>
    </row>
    <row r="6" spans="1:3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978"/>
      <c r="AF6" s="540"/>
    </row>
    <row r="7" spans="1:3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979"/>
      <c r="AE7" s="539"/>
      <c r="AF7" s="539"/>
    </row>
    <row r="8" spans="1:32" x14ac:dyDescent="0.2">
      <c r="A8" s="435">
        <v>1</v>
      </c>
      <c r="B8" s="436" t="s">
        <v>110</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26">
        <f ca="1">SUM(AF8:AF8)</f>
        <v>273</v>
      </c>
      <c r="AE8" s="543" t="str">
        <f>$B8</f>
        <v>Kenneth Muusikus</v>
      </c>
      <c r="AF8" s="544">
        <f ca="1">IFERROR(INDEX(Reit!$I:$I,MATCH(AE8,Reit!$F:$F,0)),"")</f>
        <v>273</v>
      </c>
    </row>
    <row r="9" spans="1:32" x14ac:dyDescent="0.2">
      <c r="A9" s="435">
        <v>2</v>
      </c>
      <c r="B9" s="436" t="s">
        <v>107</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8" si="0">IF(C9&gt;E9,J$3,IF(C9&lt;E9,J$5,IF(ISNUMBER(C9),J$4,0)))+IF(G9&gt;I9,J$3,IF(G9&lt;I9,J$5,IF(ISNUMBER(G9),J$4,0)))+IF(K9&gt;M9,J$3,IF(K9&lt;M9,J$5,IF(ISNUMBER(K9),J$4,0)))+IF(O9&gt;Q9,J$3,IF(O9&lt;Q9,J$5,IF(ISNUMBER(O9),J$4,0)))+IF(S9&gt;U9,J$3,IF(S9&lt;U9,J$5,IF(ISNUMBER(S9),J$4,0)))</f>
        <v>0</v>
      </c>
      <c r="X9" s="442"/>
      <c r="Y9" s="437">
        <f t="shared" ref="Y9:Y28" si="1">C9+G9+K9+O9+S9</f>
        <v>0</v>
      </c>
      <c r="Z9" s="438" t="s">
        <v>246</v>
      </c>
      <c r="AA9" s="443">
        <f t="shared" ref="AA9:AA28" si="2">E9+I9+M9+Q9+U9</f>
        <v>0</v>
      </c>
      <c r="AB9" s="444">
        <f t="shared" ref="AB9:AB28" si="3">Y9-AA9</f>
        <v>0</v>
      </c>
      <c r="AC9" s="445"/>
      <c r="AD9" s="426">
        <f ca="1">SUM(AF9:AF9)</f>
        <v>294</v>
      </c>
      <c r="AE9" s="543" t="str">
        <f>$B9</f>
        <v>Matti Vinni</v>
      </c>
      <c r="AF9" s="544">
        <f ca="1">IFERROR(INDEX(Reit!$I:$I,MATCH(AE9,Reit!$F:$F,0)),"")</f>
        <v>294</v>
      </c>
    </row>
    <row r="10" spans="1:32" x14ac:dyDescent="0.2">
      <c r="A10" s="435">
        <v>3</v>
      </c>
      <c r="B10" s="436" t="s">
        <v>108</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0"/>
        <v>0</v>
      </c>
      <c r="X10" s="442"/>
      <c r="Y10" s="437">
        <f t="shared" si="1"/>
        <v>0</v>
      </c>
      <c r="Z10" s="438" t="s">
        <v>246</v>
      </c>
      <c r="AA10" s="443">
        <f t="shared" si="2"/>
        <v>0</v>
      </c>
      <c r="AB10" s="444">
        <f t="shared" si="3"/>
        <v>0</v>
      </c>
      <c r="AC10" s="445"/>
      <c r="AD10" s="426">
        <f t="shared" ref="AD10:AD23" ca="1" si="4">SUM(AF10:AF10)</f>
        <v>212</v>
      </c>
      <c r="AE10" s="543" t="str">
        <f t="shared" ref="AE10:AE31" si="5">$B10</f>
        <v>Oleg Rõndenkov</v>
      </c>
      <c r="AF10" s="544">
        <f ca="1">IFERROR(INDEX(Reit!$I:$I,MATCH(AE10,Reit!$F:$F,0)),"")</f>
        <v>212</v>
      </c>
    </row>
    <row r="11" spans="1:32" x14ac:dyDescent="0.2">
      <c r="A11" s="435">
        <v>4</v>
      </c>
      <c r="B11" s="436" t="s">
        <v>124</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0"/>
        <v>0</v>
      </c>
      <c r="X11" s="442"/>
      <c r="Y11" s="437">
        <f t="shared" si="1"/>
        <v>0</v>
      </c>
      <c r="Z11" s="438" t="s">
        <v>246</v>
      </c>
      <c r="AA11" s="443">
        <f t="shared" si="2"/>
        <v>0</v>
      </c>
      <c r="AB11" s="444">
        <f t="shared" si="3"/>
        <v>0</v>
      </c>
      <c r="AC11" s="445"/>
      <c r="AD11" s="426">
        <f t="shared" ca="1" si="4"/>
        <v>286</v>
      </c>
      <c r="AE11" s="543" t="str">
        <f t="shared" si="5"/>
        <v>Henri Mitt</v>
      </c>
      <c r="AF11" s="544">
        <f ca="1">IFERROR(INDEX(Reit!$I:$I,MATCH(AE11,Reit!$F:$F,0)),"")</f>
        <v>286</v>
      </c>
    </row>
    <row r="12" spans="1:32" x14ac:dyDescent="0.2">
      <c r="A12" s="435">
        <v>5</v>
      </c>
      <c r="B12" s="436" t="s">
        <v>105</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0"/>
        <v>0</v>
      </c>
      <c r="X12" s="442"/>
      <c r="Y12" s="437">
        <f t="shared" si="1"/>
        <v>0</v>
      </c>
      <c r="Z12" s="438" t="s">
        <v>246</v>
      </c>
      <c r="AA12" s="443">
        <f t="shared" si="2"/>
        <v>0</v>
      </c>
      <c r="AB12" s="444">
        <f t="shared" si="3"/>
        <v>0</v>
      </c>
      <c r="AC12" s="445"/>
      <c r="AD12" s="426">
        <f t="shared" ca="1" si="4"/>
        <v>292</v>
      </c>
      <c r="AE12" s="543" t="str">
        <f t="shared" si="5"/>
        <v>Oskar Sepp</v>
      </c>
      <c r="AF12" s="544">
        <f ca="1">IFERROR(INDEX(Reit!$I:$I,MATCH(AE12,Reit!$F:$F,0)),"")</f>
        <v>292</v>
      </c>
    </row>
    <row r="13" spans="1:32" x14ac:dyDescent="0.2">
      <c r="A13" s="435">
        <v>6</v>
      </c>
      <c r="B13" s="436" t="s">
        <v>112</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0"/>
        <v>0</v>
      </c>
      <c r="X13" s="442"/>
      <c r="Y13" s="437">
        <f t="shared" si="1"/>
        <v>0</v>
      </c>
      <c r="Z13" s="438" t="s">
        <v>246</v>
      </c>
      <c r="AA13" s="443">
        <f t="shared" si="2"/>
        <v>0</v>
      </c>
      <c r="AB13" s="444">
        <f t="shared" si="3"/>
        <v>0</v>
      </c>
      <c r="AC13" s="445"/>
      <c r="AD13" s="426">
        <f t="shared" ca="1" si="4"/>
        <v>197</v>
      </c>
      <c r="AE13" s="543" t="str">
        <f t="shared" si="5"/>
        <v>Andres Veski</v>
      </c>
      <c r="AF13" s="544">
        <f ca="1">IFERROR(INDEX(Reit!$I:$I,MATCH(AE13,Reit!$F:$F,0)),"")</f>
        <v>197</v>
      </c>
    </row>
    <row r="14" spans="1:32" x14ac:dyDescent="0.2">
      <c r="A14" s="435">
        <v>7</v>
      </c>
      <c r="B14" s="446" t="s">
        <v>118</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0"/>
        <v>0</v>
      </c>
      <c r="X14" s="442"/>
      <c r="Y14" s="437">
        <f t="shared" si="1"/>
        <v>0</v>
      </c>
      <c r="Z14" s="438" t="s">
        <v>246</v>
      </c>
      <c r="AA14" s="443">
        <f t="shared" si="2"/>
        <v>0</v>
      </c>
      <c r="AB14" s="444">
        <f t="shared" si="3"/>
        <v>0</v>
      </c>
      <c r="AC14" s="445"/>
      <c r="AD14" s="426">
        <f t="shared" ca="1" si="4"/>
        <v>206</v>
      </c>
      <c r="AE14" s="543" t="str">
        <f t="shared" si="5"/>
        <v>Svetlana Veski</v>
      </c>
      <c r="AF14" s="544">
        <f ca="1">IFERROR(INDEX(Reit!$I:$I,MATCH(AE14,Reit!$F:$F,0)),"")</f>
        <v>206</v>
      </c>
    </row>
    <row r="15" spans="1:32" x14ac:dyDescent="0.2">
      <c r="A15" s="435">
        <v>8</v>
      </c>
      <c r="B15" s="446" t="s">
        <v>117</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0"/>
        <v>0</v>
      </c>
      <c r="X15" s="442"/>
      <c r="Y15" s="437">
        <f t="shared" si="1"/>
        <v>0</v>
      </c>
      <c r="Z15" s="438" t="s">
        <v>246</v>
      </c>
      <c r="AA15" s="443">
        <f t="shared" si="2"/>
        <v>0</v>
      </c>
      <c r="AB15" s="444">
        <f t="shared" si="3"/>
        <v>0</v>
      </c>
      <c r="AC15" s="445"/>
      <c r="AD15" s="426">
        <f t="shared" ca="1" si="4"/>
        <v>174</v>
      </c>
      <c r="AE15" s="543" t="str">
        <f t="shared" si="5"/>
        <v>Andrei Grintšak</v>
      </c>
      <c r="AF15" s="544">
        <f ca="1">IFERROR(INDEX(Reit!$I:$I,MATCH(AE15,Reit!$F:$F,0)),"")</f>
        <v>174</v>
      </c>
    </row>
    <row r="16" spans="1:32" x14ac:dyDescent="0.2">
      <c r="A16" s="435">
        <v>9</v>
      </c>
      <c r="B16" s="436" t="s">
        <v>127</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0"/>
        <v>0</v>
      </c>
      <c r="X16" s="442"/>
      <c r="Y16" s="437">
        <f t="shared" si="1"/>
        <v>0</v>
      </c>
      <c r="Z16" s="438" t="s">
        <v>246</v>
      </c>
      <c r="AA16" s="443">
        <f t="shared" si="2"/>
        <v>0</v>
      </c>
      <c r="AB16" s="444">
        <f t="shared" si="3"/>
        <v>0</v>
      </c>
      <c r="AC16" s="445"/>
      <c r="AD16" s="426">
        <f t="shared" ca="1" si="4"/>
        <v>92</v>
      </c>
      <c r="AE16" s="543" t="str">
        <f t="shared" si="5"/>
        <v>Oksana Rõndenkova</v>
      </c>
      <c r="AF16" s="544">
        <f ca="1">IFERROR(INDEX(Reit!$I:$I,MATCH(AE16,Reit!$F:$F,0)),"")</f>
        <v>92</v>
      </c>
    </row>
    <row r="17" spans="1:38" x14ac:dyDescent="0.2">
      <c r="A17" s="435">
        <v>10</v>
      </c>
      <c r="B17" s="436" t="s">
        <v>135</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0"/>
        <v>0</v>
      </c>
      <c r="X17" s="442"/>
      <c r="Y17" s="437">
        <f t="shared" si="1"/>
        <v>0</v>
      </c>
      <c r="Z17" s="438" t="s">
        <v>246</v>
      </c>
      <c r="AA17" s="443">
        <f t="shared" si="2"/>
        <v>0</v>
      </c>
      <c r="AB17" s="444">
        <f t="shared" si="3"/>
        <v>0</v>
      </c>
      <c r="AC17" s="445"/>
      <c r="AD17" s="426">
        <f t="shared" ca="1" si="4"/>
        <v>211</v>
      </c>
      <c r="AE17" s="543" t="str">
        <f t="shared" si="5"/>
        <v>Kaspar Mänd</v>
      </c>
      <c r="AF17" s="544">
        <f ca="1">IFERROR(INDEX(Reit!$I:$I,MATCH(AE17,Reit!$F:$F,0)),"")</f>
        <v>211</v>
      </c>
    </row>
    <row r="18" spans="1:38" x14ac:dyDescent="0.2">
      <c r="A18" s="435">
        <v>11</v>
      </c>
      <c r="B18" s="446" t="s">
        <v>106</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0"/>
        <v>0</v>
      </c>
      <c r="X18" s="442"/>
      <c r="Y18" s="437">
        <f t="shared" si="1"/>
        <v>0</v>
      </c>
      <c r="Z18" s="438" t="s">
        <v>246</v>
      </c>
      <c r="AA18" s="443">
        <f t="shared" si="2"/>
        <v>0</v>
      </c>
      <c r="AB18" s="444">
        <f t="shared" si="3"/>
        <v>0</v>
      </c>
      <c r="AC18" s="445"/>
      <c r="AD18" s="426">
        <f t="shared" ca="1" si="4"/>
        <v>248</v>
      </c>
      <c r="AE18" s="543" t="str">
        <f t="shared" si="5"/>
        <v>Jaan Sepp</v>
      </c>
      <c r="AF18" s="544">
        <f ca="1">IFERROR(INDEX(Reit!$I:$I,MATCH(AE18,Reit!$F:$F,0)),"")</f>
        <v>248</v>
      </c>
    </row>
    <row r="19" spans="1:38" x14ac:dyDescent="0.2">
      <c r="A19" s="435">
        <v>12</v>
      </c>
      <c r="B19" s="446" t="s">
        <v>109</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0"/>
        <v>0</v>
      </c>
      <c r="X19" s="442"/>
      <c r="Y19" s="437">
        <f t="shared" si="1"/>
        <v>0</v>
      </c>
      <c r="Z19" s="438" t="s">
        <v>246</v>
      </c>
      <c r="AA19" s="443">
        <f t="shared" si="2"/>
        <v>0</v>
      </c>
      <c r="AB19" s="444">
        <f t="shared" si="3"/>
        <v>0</v>
      </c>
      <c r="AC19" s="445"/>
      <c r="AD19" s="426">
        <f t="shared" ca="1" si="4"/>
        <v>159</v>
      </c>
      <c r="AE19" s="543" t="str">
        <f t="shared" si="5"/>
        <v>Elmo Lageda</v>
      </c>
      <c r="AF19" s="544">
        <f ca="1">IFERROR(INDEX(Reit!$I:$I,MATCH(AE19,Reit!$F:$F,0)),"")</f>
        <v>159</v>
      </c>
    </row>
    <row r="20" spans="1:38" x14ac:dyDescent="0.2">
      <c r="A20" s="435">
        <v>13</v>
      </c>
      <c r="B20" s="436" t="s">
        <v>129</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0"/>
        <v>0</v>
      </c>
      <c r="X20" s="442"/>
      <c r="Y20" s="437">
        <f t="shared" si="1"/>
        <v>0</v>
      </c>
      <c r="Z20" s="438" t="s">
        <v>246</v>
      </c>
      <c r="AA20" s="443">
        <f t="shared" si="2"/>
        <v>0</v>
      </c>
      <c r="AB20" s="444">
        <f t="shared" si="3"/>
        <v>0</v>
      </c>
      <c r="AC20" s="445"/>
      <c r="AD20" s="426">
        <f t="shared" ca="1" si="4"/>
        <v>68</v>
      </c>
      <c r="AE20" s="543" t="str">
        <f t="shared" si="5"/>
        <v>Enn Tokman</v>
      </c>
      <c r="AF20" s="544">
        <f ca="1">IFERROR(INDEX(Reit!$I:$I,MATCH(AE20,Reit!$F:$F,0)),"")</f>
        <v>68</v>
      </c>
    </row>
    <row r="21" spans="1:38" x14ac:dyDescent="0.2">
      <c r="A21" s="435">
        <v>14</v>
      </c>
      <c r="B21" s="446" t="s">
        <v>156</v>
      </c>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0"/>
        <v>0</v>
      </c>
      <c r="X21" s="442"/>
      <c r="Y21" s="437">
        <f t="shared" si="1"/>
        <v>0</v>
      </c>
      <c r="Z21" s="438" t="s">
        <v>246</v>
      </c>
      <c r="AA21" s="443">
        <f t="shared" si="2"/>
        <v>0</v>
      </c>
      <c r="AB21" s="444">
        <f t="shared" si="3"/>
        <v>0</v>
      </c>
      <c r="AC21" s="445"/>
      <c r="AD21" s="426">
        <f t="shared" ca="1" si="4"/>
        <v>130</v>
      </c>
      <c r="AE21" s="543" t="str">
        <f t="shared" si="5"/>
        <v>Marta Bernat</v>
      </c>
      <c r="AF21" s="544">
        <f ca="1">IFERROR(INDEX(Reit!$I:$I,MATCH(AE21,Reit!$F:$F,0)),"")</f>
        <v>130</v>
      </c>
    </row>
    <row r="22" spans="1:38" x14ac:dyDescent="0.2">
      <c r="A22" s="435">
        <v>15</v>
      </c>
      <c r="B22" s="446" t="s">
        <v>138</v>
      </c>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0"/>
        <v>0</v>
      </c>
      <c r="X22" s="442"/>
      <c r="Y22" s="437">
        <f t="shared" si="1"/>
        <v>0</v>
      </c>
      <c r="Z22" s="438" t="s">
        <v>246</v>
      </c>
      <c r="AA22" s="443">
        <f t="shared" si="2"/>
        <v>0</v>
      </c>
      <c r="AB22" s="444">
        <f t="shared" si="3"/>
        <v>0</v>
      </c>
      <c r="AC22" s="445"/>
      <c r="AD22" s="426">
        <f t="shared" ca="1" si="4"/>
        <v>132</v>
      </c>
      <c r="AE22" s="543" t="str">
        <f t="shared" si="5"/>
        <v>Viktor Švarõgin</v>
      </c>
      <c r="AF22" s="544">
        <f ca="1">IFERROR(INDEX(Reit!$I:$I,MATCH(AE22,Reit!$F:$F,0)),"")</f>
        <v>132</v>
      </c>
    </row>
    <row r="23" spans="1:38" x14ac:dyDescent="0.2">
      <c r="A23" s="435">
        <v>16</v>
      </c>
      <c r="B23" s="436" t="s">
        <v>133</v>
      </c>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0"/>
        <v>0</v>
      </c>
      <c r="X23" s="442"/>
      <c r="Y23" s="437">
        <f t="shared" si="1"/>
        <v>0</v>
      </c>
      <c r="Z23" s="438" t="s">
        <v>246</v>
      </c>
      <c r="AA23" s="443">
        <f t="shared" si="2"/>
        <v>0</v>
      </c>
      <c r="AB23" s="444">
        <f t="shared" si="3"/>
        <v>0</v>
      </c>
      <c r="AC23" s="445"/>
      <c r="AD23" s="426">
        <f t="shared" ca="1" si="4"/>
        <v>2</v>
      </c>
      <c r="AE23" s="543" t="str">
        <f t="shared" si="5"/>
        <v>Toomas Tedrekull</v>
      </c>
      <c r="AF23" s="544">
        <f ca="1">IFERROR(INDEX(Reit!$I:$I,MATCH(AE23,Reit!$F:$F,0)),"")</f>
        <v>2</v>
      </c>
    </row>
    <row r="24" spans="1:38" x14ac:dyDescent="0.2">
      <c r="A24" s="435">
        <v>17</v>
      </c>
      <c r="B24" s="446" t="s">
        <v>126</v>
      </c>
      <c r="C24" s="437"/>
      <c r="D24" s="438" t="s">
        <v>246</v>
      </c>
      <c r="E24" s="439"/>
      <c r="F24" s="440"/>
      <c r="G24" s="437"/>
      <c r="H24" s="438" t="s">
        <v>246</v>
      </c>
      <c r="I24" s="439"/>
      <c r="J24" s="440"/>
      <c r="K24" s="437"/>
      <c r="L24" s="438" t="s">
        <v>246</v>
      </c>
      <c r="M24" s="439"/>
      <c r="N24" s="440"/>
      <c r="O24" s="437"/>
      <c r="P24" s="438" t="s">
        <v>246</v>
      </c>
      <c r="Q24" s="439"/>
      <c r="R24" s="440"/>
      <c r="S24" s="437"/>
      <c r="T24" s="438" t="s">
        <v>246</v>
      </c>
      <c r="U24" s="439"/>
      <c r="V24" s="440"/>
      <c r="W24" s="441">
        <f t="shared" si="0"/>
        <v>0</v>
      </c>
      <c r="X24" s="442"/>
      <c r="Y24" s="437">
        <f t="shared" si="1"/>
        <v>0</v>
      </c>
      <c r="Z24" s="438" t="s">
        <v>246</v>
      </c>
      <c r="AA24" s="443">
        <f t="shared" si="2"/>
        <v>0</v>
      </c>
      <c r="AB24" s="444">
        <f t="shared" si="3"/>
        <v>0</v>
      </c>
      <c r="AC24" s="445"/>
      <c r="AD24" s="426">
        <f t="shared" ref="AD24:AD28" ca="1" si="6">SUM(AF24:AF24)</f>
        <v>79</v>
      </c>
      <c r="AE24" s="543" t="str">
        <f t="shared" si="5"/>
        <v>Urmas Randlaine</v>
      </c>
      <c r="AF24" s="544">
        <f ca="1">IFERROR(INDEX(Reit!$I:$I,MATCH(AE24,Reit!$F:$F,0)),"")</f>
        <v>79</v>
      </c>
    </row>
    <row r="25" spans="1:38" x14ac:dyDescent="0.2">
      <c r="A25" s="435">
        <v>18</v>
      </c>
      <c r="B25" s="446" t="s">
        <v>142</v>
      </c>
      <c r="C25" s="437"/>
      <c r="D25" s="438" t="s">
        <v>246</v>
      </c>
      <c r="E25" s="439"/>
      <c r="F25" s="440"/>
      <c r="G25" s="437"/>
      <c r="H25" s="438" t="s">
        <v>246</v>
      </c>
      <c r="I25" s="439"/>
      <c r="J25" s="440"/>
      <c r="K25" s="437"/>
      <c r="L25" s="438" t="s">
        <v>246</v>
      </c>
      <c r="M25" s="439"/>
      <c r="N25" s="440"/>
      <c r="O25" s="437"/>
      <c r="P25" s="438" t="s">
        <v>246</v>
      </c>
      <c r="Q25" s="439"/>
      <c r="R25" s="440"/>
      <c r="S25" s="437"/>
      <c r="T25" s="438" t="s">
        <v>246</v>
      </c>
      <c r="U25" s="439"/>
      <c r="V25" s="440"/>
      <c r="W25" s="441">
        <f t="shared" si="0"/>
        <v>0</v>
      </c>
      <c r="X25" s="442"/>
      <c r="Y25" s="437">
        <f t="shared" si="1"/>
        <v>0</v>
      </c>
      <c r="Z25" s="438" t="s">
        <v>246</v>
      </c>
      <c r="AA25" s="443">
        <f t="shared" si="2"/>
        <v>0</v>
      </c>
      <c r="AB25" s="444">
        <f t="shared" si="3"/>
        <v>0</v>
      </c>
      <c r="AC25" s="445"/>
      <c r="AD25" s="426">
        <f t="shared" ca="1" si="6"/>
        <v>44</v>
      </c>
      <c r="AE25" s="543" t="str">
        <f t="shared" si="5"/>
        <v>Illar Tõnurist</v>
      </c>
      <c r="AF25" s="544">
        <f ca="1">IFERROR(INDEX(Reit!$I:$I,MATCH(AE25,Reit!$F:$F,0)),"")</f>
        <v>44</v>
      </c>
    </row>
    <row r="26" spans="1:38" x14ac:dyDescent="0.2">
      <c r="A26" s="435">
        <v>19</v>
      </c>
      <c r="B26" s="446" t="s">
        <v>137</v>
      </c>
      <c r="C26" s="437"/>
      <c r="D26" s="438" t="s">
        <v>246</v>
      </c>
      <c r="E26" s="439"/>
      <c r="F26" s="440"/>
      <c r="G26" s="437"/>
      <c r="H26" s="438" t="s">
        <v>246</v>
      </c>
      <c r="I26" s="439"/>
      <c r="J26" s="440"/>
      <c r="K26" s="437"/>
      <c r="L26" s="438" t="s">
        <v>246</v>
      </c>
      <c r="M26" s="439"/>
      <c r="N26" s="440"/>
      <c r="O26" s="437"/>
      <c r="P26" s="438" t="s">
        <v>246</v>
      </c>
      <c r="Q26" s="439"/>
      <c r="R26" s="440"/>
      <c r="S26" s="437"/>
      <c r="T26" s="438" t="s">
        <v>246</v>
      </c>
      <c r="U26" s="439"/>
      <c r="V26" s="440"/>
      <c r="W26" s="441">
        <f t="shared" si="0"/>
        <v>0</v>
      </c>
      <c r="X26" s="442"/>
      <c r="Y26" s="437">
        <f t="shared" si="1"/>
        <v>0</v>
      </c>
      <c r="Z26" s="438" t="s">
        <v>246</v>
      </c>
      <c r="AA26" s="443">
        <f t="shared" si="2"/>
        <v>0</v>
      </c>
      <c r="AB26" s="444">
        <f t="shared" si="3"/>
        <v>0</v>
      </c>
      <c r="AC26" s="403"/>
      <c r="AD26" s="426">
        <f t="shared" ca="1" si="6"/>
        <v>149</v>
      </c>
      <c r="AE26" s="543" t="str">
        <f t="shared" si="5"/>
        <v>Ljudmila Varendi</v>
      </c>
      <c r="AF26" s="544">
        <f ca="1">IFERROR(INDEX(Reit!$I:$I,MATCH(AE26,Reit!$F:$F,0)),"")</f>
        <v>149</v>
      </c>
    </row>
    <row r="27" spans="1:38" x14ac:dyDescent="0.2">
      <c r="A27" s="435">
        <v>20</v>
      </c>
      <c r="B27" s="446" t="s">
        <v>144</v>
      </c>
      <c r="C27" s="437"/>
      <c r="D27" s="438" t="s">
        <v>246</v>
      </c>
      <c r="E27" s="439"/>
      <c r="F27" s="440"/>
      <c r="G27" s="437"/>
      <c r="H27" s="438" t="s">
        <v>246</v>
      </c>
      <c r="I27" s="439"/>
      <c r="J27" s="440"/>
      <c r="K27" s="437"/>
      <c r="L27" s="438" t="s">
        <v>246</v>
      </c>
      <c r="M27" s="439"/>
      <c r="N27" s="440"/>
      <c r="O27" s="437"/>
      <c r="P27" s="438" t="s">
        <v>246</v>
      </c>
      <c r="Q27" s="439"/>
      <c r="R27" s="440"/>
      <c r="S27" s="437"/>
      <c r="T27" s="438" t="s">
        <v>246</v>
      </c>
      <c r="U27" s="439"/>
      <c r="V27" s="440"/>
      <c r="W27" s="441">
        <f t="shared" si="0"/>
        <v>0</v>
      </c>
      <c r="X27" s="442"/>
      <c r="Y27" s="437">
        <f t="shared" si="1"/>
        <v>0</v>
      </c>
      <c r="Z27" s="438" t="s">
        <v>246</v>
      </c>
      <c r="AA27" s="443">
        <f t="shared" si="2"/>
        <v>0</v>
      </c>
      <c r="AB27" s="444">
        <f t="shared" si="3"/>
        <v>0</v>
      </c>
      <c r="AC27" s="403"/>
      <c r="AD27" s="426">
        <f t="shared" ca="1" si="6"/>
        <v>38</v>
      </c>
      <c r="AE27" s="543" t="str">
        <f t="shared" si="5"/>
        <v>Tarmo Bombe</v>
      </c>
      <c r="AF27" s="544">
        <f ca="1">IFERROR(INDEX(Reit!$I:$I,MATCH(AE27,Reit!$F:$F,0)),"")</f>
        <v>38</v>
      </c>
    </row>
    <row r="28" spans="1:38" x14ac:dyDescent="0.2">
      <c r="A28" s="435">
        <v>21</v>
      </c>
      <c r="B28" s="446" t="s">
        <v>140</v>
      </c>
      <c r="C28" s="437"/>
      <c r="D28" s="438" t="s">
        <v>246</v>
      </c>
      <c r="E28" s="439"/>
      <c r="F28" s="440"/>
      <c r="G28" s="437"/>
      <c r="H28" s="438" t="s">
        <v>246</v>
      </c>
      <c r="I28" s="439"/>
      <c r="J28" s="440"/>
      <c r="K28" s="437"/>
      <c r="L28" s="438" t="s">
        <v>246</v>
      </c>
      <c r="M28" s="439"/>
      <c r="N28" s="440"/>
      <c r="O28" s="437"/>
      <c r="P28" s="438" t="s">
        <v>246</v>
      </c>
      <c r="Q28" s="439"/>
      <c r="R28" s="440"/>
      <c r="S28" s="437"/>
      <c r="T28" s="438" t="s">
        <v>246</v>
      </c>
      <c r="U28" s="439"/>
      <c r="V28" s="440"/>
      <c r="W28" s="441">
        <f t="shared" si="0"/>
        <v>0</v>
      </c>
      <c r="X28" s="442"/>
      <c r="Y28" s="437">
        <f t="shared" si="1"/>
        <v>0</v>
      </c>
      <c r="Z28" s="438" t="s">
        <v>246</v>
      </c>
      <c r="AA28" s="443">
        <f t="shared" si="2"/>
        <v>0</v>
      </c>
      <c r="AB28" s="444">
        <f t="shared" si="3"/>
        <v>0</v>
      </c>
      <c r="AC28" s="403"/>
      <c r="AD28" s="426">
        <f t="shared" ca="1" si="6"/>
        <v>1</v>
      </c>
      <c r="AE28" s="543" t="str">
        <f t="shared" si="5"/>
        <v>Liidia Põllu</v>
      </c>
      <c r="AF28" s="544">
        <f ca="1">IFERROR(INDEX(Reit!$I:$I,MATCH(AE28,Reit!$F:$F,0)),"")</f>
        <v>1</v>
      </c>
    </row>
    <row r="29" spans="1:38" x14ac:dyDescent="0.2">
      <c r="A29" s="435">
        <v>22</v>
      </c>
      <c r="B29" s="446" t="s">
        <v>114</v>
      </c>
      <c r="C29" s="437"/>
      <c r="D29" s="438" t="s">
        <v>246</v>
      </c>
      <c r="E29" s="439"/>
      <c r="F29" s="440"/>
      <c r="G29" s="437"/>
      <c r="H29" s="438" t="s">
        <v>246</v>
      </c>
      <c r="I29" s="439"/>
      <c r="J29" s="440"/>
      <c r="K29" s="437"/>
      <c r="L29" s="438" t="s">
        <v>246</v>
      </c>
      <c r="M29" s="439"/>
      <c r="N29" s="440"/>
      <c r="O29" s="437"/>
      <c r="P29" s="438" t="s">
        <v>246</v>
      </c>
      <c r="Q29" s="439"/>
      <c r="R29" s="440"/>
      <c r="S29" s="437"/>
      <c r="T29" s="438" t="s">
        <v>246</v>
      </c>
      <c r="U29" s="439"/>
      <c r="V29" s="440"/>
      <c r="W29" s="441">
        <f>IF(C29&gt;E29,J$3,IF(C29&lt;E29,J$5,IF(ISNUMBER(C29),J$4,0)))+IF(G29&gt;I29,J$3,IF(G29&lt;I29,J$5,IF(ISNUMBER(G29),J$4,0)))+IF(K29&gt;M29,J$3,IF(K29&lt;M29,J$5,IF(ISNUMBER(K29),J$4,0)))+IF(O29&gt;Q29,J$3,IF(O29&lt;Q29,J$5,IF(ISNUMBER(O29),J$4,0)))+IF(S29&gt;U29,J$3,IF(S29&lt;U29,J$5,IF(ISNUMBER(S29),J$4,0)))</f>
        <v>0</v>
      </c>
      <c r="X29" s="442"/>
      <c r="Y29" s="437">
        <f>C29+G29+K29+O29+S29</f>
        <v>0</v>
      </c>
      <c r="Z29" s="438" t="s">
        <v>246</v>
      </c>
      <c r="AA29" s="443">
        <f>E29+I29+M29+Q29+U29</f>
        <v>0</v>
      </c>
      <c r="AB29" s="444">
        <f>Y29-AA29</f>
        <v>0</v>
      </c>
      <c r="AC29" s="403"/>
      <c r="AD29" s="426">
        <f ca="1">SUM(AF29:AF29)</f>
        <v>150</v>
      </c>
      <c r="AE29" s="543" t="str">
        <f t="shared" si="5"/>
        <v>Janek Tarto</v>
      </c>
      <c r="AF29" s="544">
        <f ca="1">IFERROR(INDEX(Reit!$I:$I,MATCH(AE29,Reit!$F:$F,0)),"")</f>
        <v>150</v>
      </c>
    </row>
    <row r="30" spans="1:38" x14ac:dyDescent="0.2">
      <c r="A30" s="435">
        <v>23</v>
      </c>
      <c r="B30" s="446" t="s">
        <v>474</v>
      </c>
      <c r="C30" s="437"/>
      <c r="D30" s="438" t="s">
        <v>246</v>
      </c>
      <c r="E30" s="439"/>
      <c r="F30" s="440"/>
      <c r="G30" s="437"/>
      <c r="H30" s="438" t="s">
        <v>246</v>
      </c>
      <c r="I30" s="439"/>
      <c r="J30" s="440"/>
      <c r="K30" s="437"/>
      <c r="L30" s="438" t="s">
        <v>246</v>
      </c>
      <c r="M30" s="439"/>
      <c r="N30" s="440"/>
      <c r="O30" s="437"/>
      <c r="P30" s="438" t="s">
        <v>246</v>
      </c>
      <c r="Q30" s="439"/>
      <c r="R30" s="440"/>
      <c r="S30" s="437"/>
      <c r="T30" s="438" t="s">
        <v>246</v>
      </c>
      <c r="U30" s="439"/>
      <c r="V30" s="440"/>
      <c r="W30" s="441">
        <f>IF(C30&gt;E30,J$3,IF(C30&lt;E30,J$5,IF(ISNUMBER(C30),J$4,0)))+IF(G30&gt;I30,J$3,IF(G30&lt;I30,J$5,IF(ISNUMBER(G30),J$4,0)))+IF(K30&gt;M30,J$3,IF(K30&lt;M30,J$5,IF(ISNUMBER(K30),J$4,0)))+IF(O30&gt;Q30,J$3,IF(O30&lt;Q30,J$5,IF(ISNUMBER(O30),J$4,0)))+IF(S30&gt;U30,J$3,IF(S30&lt;U30,J$5,IF(ISNUMBER(S30),J$4,0)))</f>
        <v>0</v>
      </c>
      <c r="X30" s="442"/>
      <c r="Y30" s="437">
        <f>C30+G30+K30+O30+S30</f>
        <v>0</v>
      </c>
      <c r="Z30" s="438" t="s">
        <v>246</v>
      </c>
      <c r="AA30" s="443">
        <f>E30+I30+M30+Q30+U30</f>
        <v>0</v>
      </c>
      <c r="AB30" s="444">
        <f>Y30-AA30</f>
        <v>0</v>
      </c>
      <c r="AC30" s="403"/>
      <c r="AD30" s="426">
        <f ca="1">SUM(AF30:AF30)</f>
        <v>1</v>
      </c>
      <c r="AE30" s="543" t="str">
        <f t="shared" si="5"/>
        <v>Veronika Pirk</v>
      </c>
      <c r="AF30" s="544">
        <f ca="1">IFERROR(INDEX(Reit!$I:$I,MATCH(AE30,Reit!$F:$F,0)),"")</f>
        <v>1</v>
      </c>
    </row>
    <row r="31" spans="1:38" x14ac:dyDescent="0.2">
      <c r="A31" s="435">
        <v>24</v>
      </c>
      <c r="B31" s="446" t="s">
        <v>116</v>
      </c>
      <c r="C31" s="437"/>
      <c r="D31" s="438" t="s">
        <v>246</v>
      </c>
      <c r="E31" s="439"/>
      <c r="F31" s="440"/>
      <c r="G31" s="437"/>
      <c r="H31" s="438" t="s">
        <v>246</v>
      </c>
      <c r="I31" s="439"/>
      <c r="J31" s="440"/>
      <c r="K31" s="437"/>
      <c r="L31" s="438" t="s">
        <v>246</v>
      </c>
      <c r="M31" s="439"/>
      <c r="N31" s="440"/>
      <c r="O31" s="437"/>
      <c r="P31" s="438" t="s">
        <v>246</v>
      </c>
      <c r="Q31" s="439"/>
      <c r="R31" s="440"/>
      <c r="S31" s="437"/>
      <c r="T31" s="438" t="s">
        <v>246</v>
      </c>
      <c r="U31" s="439"/>
      <c r="V31" s="440"/>
      <c r="W31" s="441">
        <f>IF(C31&gt;E31,J$3,IF(C31&lt;E31,J$5,IF(ISNUMBER(C31),J$4,0)))+IF(G31&gt;I31,J$3,IF(G31&lt;I31,J$5,IF(ISNUMBER(G31),J$4,0)))+IF(K31&gt;M31,J$3,IF(K31&lt;M31,J$5,IF(ISNUMBER(K31),J$4,0)))+IF(O31&gt;Q31,J$3,IF(O31&lt;Q31,J$5,IF(ISNUMBER(O31),J$4,0)))+IF(S31&gt;U31,J$3,IF(S31&lt;U31,J$5,IF(ISNUMBER(S31),J$4,0)))</f>
        <v>0</v>
      </c>
      <c r="X31" s="442"/>
      <c r="Y31" s="437">
        <f>C31+G31+K31+O31+S31</f>
        <v>0</v>
      </c>
      <c r="Z31" s="438" t="s">
        <v>246</v>
      </c>
      <c r="AA31" s="443">
        <f>E31+I31+M31+Q31+U31</f>
        <v>0</v>
      </c>
      <c r="AB31" s="444">
        <f>Y31-AA31</f>
        <v>0</v>
      </c>
      <c r="AC31" s="403"/>
      <c r="AD31" s="426">
        <f ca="1">SUM(AF31:AF31)</f>
        <v>185</v>
      </c>
      <c r="AE31" s="543" t="str">
        <f t="shared" si="5"/>
        <v>Boriss Klubov</v>
      </c>
      <c r="AF31" s="544">
        <f ca="1">IFERROR(INDEX(Reit!$I:$I,MATCH(AE31,Reit!$F:$F,0)),"")</f>
        <v>185</v>
      </c>
    </row>
    <row r="32" spans="1:38"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row>
    <row r="33" spans="1:38"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row>
    <row r="34" spans="1:38"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row>
    <row r="35" spans="1:38"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row>
    <row r="36" spans="1:38"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row>
    <row r="37" spans="1:38"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row>
    <row r="38" spans="1:38"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row>
    <row r="39" spans="1:38"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row>
    <row r="40" spans="1:38"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row>
    <row r="41" spans="1:38"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row>
    <row r="42" spans="1:38"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row>
    <row r="43" spans="1:38"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row>
    <row r="44" spans="1:38"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row>
    <row r="45" spans="1:38"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row>
    <row r="46" spans="1:38"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row>
    <row r="47" spans="1:38"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row>
    <row r="48" spans="1:38"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row>
    <row r="49" spans="1:32"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row>
    <row r="50" spans="1:32"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row>
    <row r="51" spans="1:32"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row>
    <row r="52" spans="1:32"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row>
    <row r="53" spans="1:32"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row>
    <row r="54" spans="1:32"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row>
    <row r="55" spans="1:32"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row>
    <row r="56" spans="1:32"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row>
    <row r="57" spans="1:32"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row>
    <row r="58" spans="1:32"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row>
    <row r="59" spans="1:32"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row>
    <row r="60" spans="1:32"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row>
    <row r="61" spans="1:32"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row>
    <row r="62" spans="1:32"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row>
    <row r="63" spans="1:32"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row>
    <row r="64" spans="1:32"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row>
    <row r="65" spans="1:32"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row>
    <row r="66" spans="1:32"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row>
    <row r="67" spans="1:32"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row>
    <row r="68" spans="1:32"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row>
    <row r="69" spans="1:32"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row>
    <row r="70" spans="1:32"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row>
    <row r="71" spans="1:32"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row>
    <row r="72" spans="1:32"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row>
    <row r="73" spans="1:32"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row>
    <row r="74" spans="1:32"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row>
    <row r="75" spans="1:32"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row>
    <row r="76" spans="1:32"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row>
    <row r="77" spans="1:32"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row>
    <row r="78" spans="1:32"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row>
    <row r="79" spans="1:32"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row>
    <row r="80" spans="1:32"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row>
    <row r="81" spans="1:32"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row>
    <row r="82" spans="1:32"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row>
    <row r="83" spans="1:32"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row>
    <row r="84" spans="1:32"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row>
    <row r="85" spans="1:32"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row>
    <row r="86" spans="1:32"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row>
    <row r="87" spans="1:32"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row>
    <row r="88" spans="1:32"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row>
    <row r="89" spans="1:32"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row>
    <row r="90" spans="1:32"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row>
    <row r="91" spans="1:32"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row>
    <row r="92" spans="1:32"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row>
    <row r="93" spans="1:32"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row>
    <row r="94" spans="1:32"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row>
    <row r="95" spans="1:32"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row>
    <row r="96" spans="1:32"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row>
    <row r="97" spans="1:32"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row>
    <row r="98" spans="1:32"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row>
    <row r="99" spans="1:32"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row>
    <row r="100" spans="1:32"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row>
    <row r="101" spans="1:32"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row>
    <row r="102" spans="1:32"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row>
    <row r="103" spans="1:32"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row>
    <row r="104" spans="1:32"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row>
    <row r="105" spans="1:32"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row>
    <row r="106" spans="1:32"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row>
    <row r="107" spans="1:32"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row>
    <row r="108" spans="1:32"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row>
    <row r="109" spans="1:32"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row>
    <row r="110" spans="1:32"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row>
    <row r="111" spans="1:32"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row>
    <row r="112" spans="1:32"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row>
    <row r="113" spans="1:32"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row>
    <row r="114" spans="1:32"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row>
    <row r="115" spans="1:32"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row>
    <row r="116" spans="1:32"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row>
    <row r="117" spans="1:32"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row>
    <row r="118" spans="1:32"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row>
    <row r="119" spans="1:32"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row>
    <row r="120" spans="1:32"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row>
    <row r="121" spans="1:32"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row>
    <row r="122" spans="1:32"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row>
    <row r="123" spans="1:32"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row>
    <row r="124" spans="1:32"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row>
    <row r="125" spans="1:32"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row>
    <row r="126" spans="1:32"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row>
    <row r="127" spans="1:32"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row>
    <row r="128" spans="1:32"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row>
    <row r="129" spans="1:32"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row>
    <row r="130" spans="1:32"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row>
    <row r="131" spans="1:32"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row>
    <row r="132" spans="1:32"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row>
    <row r="133" spans="1:32"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row>
    <row r="134" spans="1:32"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row>
    <row r="135" spans="1:32"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row>
    <row r="136" spans="1:32"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row>
    <row r="137" spans="1:32" hidden="1"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row>
    <row r="138" spans="1:32" hidden="1"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row>
    <row r="139" spans="1:32" hidden="1"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row>
    <row r="140" spans="1:32" hidden="1"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row>
    <row r="141" spans="1:32"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row>
    <row r="142" spans="1:32"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row>
    <row r="143" spans="1:32"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row>
    <row r="144" spans="1:32"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row>
    <row r="145" spans="1:32"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row>
    <row r="146" spans="1:32"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row>
    <row r="147" spans="1:32"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row>
    <row r="148" spans="1:32"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row>
    <row r="149" spans="1:32"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row>
    <row r="150" spans="1:32"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row>
    <row r="151" spans="1:32"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03"/>
      <c r="AE151" s="403"/>
      <c r="AF151" s="403"/>
    </row>
    <row r="152" spans="1:32"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03"/>
      <c r="AE152" s="403"/>
      <c r="AF152" s="403"/>
    </row>
    <row r="153" spans="1:32" hidden="1"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c r="AD153" s="403"/>
      <c r="AE153" s="403"/>
      <c r="AF153" s="403"/>
    </row>
    <row r="154" spans="1:32" hidden="1" x14ac:dyDescent="0.2">
      <c r="A154" s="403"/>
      <c r="B154" s="403"/>
      <c r="C154" s="403"/>
      <c r="D154" s="403"/>
      <c r="E154" s="403"/>
      <c r="F154" s="403"/>
      <c r="G154" s="403"/>
      <c r="H154" s="403"/>
      <c r="I154" s="403"/>
      <c r="J154" s="403"/>
      <c r="K154" s="403"/>
      <c r="L154" s="407"/>
      <c r="M154" s="407"/>
      <c r="N154" s="407"/>
      <c r="O154" s="403"/>
      <c r="P154" s="403"/>
      <c r="Q154" s="403"/>
      <c r="R154" s="403"/>
      <c r="S154" s="403"/>
      <c r="T154" s="407"/>
      <c r="U154" s="407"/>
      <c r="V154" s="407"/>
      <c r="W154" s="403"/>
      <c r="X154" s="403"/>
      <c r="Y154" s="403"/>
      <c r="Z154" s="403"/>
      <c r="AA154" s="403"/>
      <c r="AB154" s="403"/>
      <c r="AC154" s="403"/>
      <c r="AD154" s="403"/>
      <c r="AE154" s="403"/>
      <c r="AF154" s="403"/>
    </row>
    <row r="155" spans="1:32" hidden="1" x14ac:dyDescent="0.2">
      <c r="A155" s="403"/>
      <c r="B155" s="403"/>
      <c r="C155" s="403"/>
      <c r="D155" s="403"/>
      <c r="E155" s="403"/>
      <c r="F155" s="403"/>
      <c r="G155" s="403"/>
      <c r="H155" s="403"/>
      <c r="I155" s="403"/>
      <c r="J155" s="403"/>
      <c r="K155" s="403"/>
      <c r="L155" s="407"/>
      <c r="M155" s="407"/>
      <c r="N155" s="407"/>
      <c r="O155" s="403"/>
      <c r="P155" s="403"/>
      <c r="Q155" s="403"/>
      <c r="R155" s="403"/>
      <c r="S155" s="403"/>
      <c r="T155" s="407"/>
      <c r="U155" s="407"/>
      <c r="V155" s="407"/>
      <c r="W155" s="403"/>
      <c r="X155" s="403"/>
      <c r="Y155" s="403"/>
      <c r="Z155" s="403"/>
      <c r="AA155" s="403"/>
      <c r="AB155" s="403"/>
      <c r="AC155" s="403"/>
      <c r="AD155" s="403"/>
      <c r="AE155" s="403"/>
      <c r="AF155" s="403"/>
    </row>
    <row r="156" spans="1:32" hidden="1" x14ac:dyDescent="0.2">
      <c r="A156" s="403"/>
      <c r="B156" s="403"/>
      <c r="C156" s="403"/>
      <c r="D156" s="403"/>
      <c r="E156" s="403"/>
      <c r="F156" s="403"/>
      <c r="G156" s="403"/>
      <c r="H156" s="403"/>
      <c r="I156" s="403"/>
      <c r="J156" s="403"/>
      <c r="K156" s="403"/>
      <c r="L156" s="407"/>
      <c r="M156" s="407"/>
      <c r="N156" s="407"/>
      <c r="O156" s="403"/>
      <c r="P156" s="403"/>
      <c r="Q156" s="403"/>
      <c r="R156" s="403"/>
      <c r="S156" s="403"/>
      <c r="T156" s="407"/>
      <c r="U156" s="407"/>
      <c r="V156" s="407"/>
      <c r="W156" s="403"/>
      <c r="X156" s="403"/>
      <c r="Y156" s="403"/>
      <c r="Z156" s="403"/>
      <c r="AA156" s="403"/>
      <c r="AB156" s="403"/>
      <c r="AC156" s="403"/>
      <c r="AD156" s="403"/>
      <c r="AE156" s="403"/>
      <c r="AF156" s="403"/>
    </row>
    <row r="157" spans="1:32"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row>
    <row r="158" spans="1:32"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row>
    <row r="159" spans="1:32"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row>
    <row r="160" spans="1:32"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row>
    <row r="161" spans="1:32"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row>
    <row r="162" spans="1:32"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row>
    <row r="163" spans="1:32"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row>
    <row r="164" spans="1:32"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row>
    <row r="165" spans="1:32"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row>
    <row r="166" spans="1:32" hidden="1"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row>
    <row r="167" spans="1:32" hidden="1"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row>
    <row r="168" spans="1:32" hidden="1"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row>
    <row r="169" spans="1:32" hidden="1"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row>
    <row r="170" spans="1:32"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row>
    <row r="171" spans="1:32"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row>
    <row r="172" spans="1:32"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row>
    <row r="173" spans="1:32"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row>
    <row r="174" spans="1:32"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row>
    <row r="175" spans="1:32"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row>
    <row r="176" spans="1:32"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row>
    <row r="177" spans="1:32"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row>
    <row r="178" spans="1:32"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row>
    <row r="179" spans="1:32"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row>
    <row r="180" spans="1:32"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row>
    <row r="181" spans="1:32"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row>
    <row r="182" spans="1:32"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row>
    <row r="183" spans="1:32"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row>
    <row r="184" spans="1:32"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row>
    <row r="185" spans="1:32"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row>
    <row r="186" spans="1:32"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row>
    <row r="187" spans="1:32"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row>
    <row r="188" spans="1:32"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row>
    <row r="189" spans="1:32"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row>
    <row r="190" spans="1:32"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row>
    <row r="191" spans="1:32"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row>
    <row r="192" spans="1:32"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row>
    <row r="193" spans="1:32"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row>
    <row r="194" spans="1:32"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row>
    <row r="195" spans="1:32"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row>
    <row r="196" spans="1:32"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row>
    <row r="197" spans="1:32"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row>
    <row r="198" spans="1:32"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row>
    <row r="199" spans="1:32"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row>
    <row r="200" spans="1:32"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row>
    <row r="201" spans="1:32"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row>
    <row r="202" spans="1:32"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row>
    <row r="203" spans="1:32"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row>
    <row r="204" spans="1:32"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row>
    <row r="205" spans="1:32"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row>
    <row r="206" spans="1:32"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row>
    <row r="207" spans="1:32"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row>
    <row r="208" spans="1:32"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row>
    <row r="209" spans="1:32"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row>
    <row r="210" spans="1:32"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row>
    <row r="211" spans="1:32"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row>
    <row r="212" spans="1:32"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row>
    <row r="213" spans="1:32"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row>
    <row r="214" spans="1:32"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row>
    <row r="215" spans="1:32"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row>
    <row r="216" spans="1:32"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row>
    <row r="217" spans="1:32"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row>
    <row r="218" spans="1:32"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row>
    <row r="219" spans="1:32"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row>
    <row r="220" spans="1:32"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row>
    <row r="221" spans="1:32"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row>
    <row r="222" spans="1:32"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row>
    <row r="223" spans="1:32"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row>
    <row r="224" spans="1:32"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row>
    <row r="225" spans="1:32"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row>
    <row r="226" spans="1:32"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row>
    <row r="227" spans="1:32"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row>
    <row r="228" spans="1:32"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row>
    <row r="229" spans="1:32"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row>
    <row r="230" spans="1:32"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row>
    <row r="231" spans="1:32"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row>
    <row r="232" spans="1:32"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row>
    <row r="233" spans="1:32"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row>
    <row r="234" spans="1:32"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row>
    <row r="235" spans="1:32"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row>
    <row r="236" spans="1:32"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row>
    <row r="237" spans="1:32"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row>
    <row r="238" spans="1:32"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row>
    <row r="239" spans="1:32"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row>
    <row r="240" spans="1:32"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row>
    <row r="241" spans="1:32"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row>
    <row r="242" spans="1:32"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row>
    <row r="243" spans="1:32"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row>
    <row r="244" spans="1:32"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row>
    <row r="245" spans="1:32"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row>
    <row r="246" spans="1:32"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row>
    <row r="247" spans="1:32"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row>
    <row r="248" spans="1:32"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row>
    <row r="249" spans="1:32"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row>
    <row r="250" spans="1:32"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row>
    <row r="251" spans="1:32"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row>
    <row r="252" spans="1:32"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row>
    <row r="253" spans="1:32"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row>
    <row r="254" spans="1:32"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row>
    <row r="255" spans="1:32"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row>
    <row r="256" spans="1:32"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row>
    <row r="257" spans="1:32"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row>
    <row r="258" spans="1:32"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row>
    <row r="259" spans="1:32"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row>
    <row r="260" spans="1:32"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row>
    <row r="261" spans="1:32"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row>
    <row r="262" spans="1:32"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row>
    <row r="263" spans="1:32"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row>
    <row r="264" spans="1:32"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row>
    <row r="265" spans="1:32"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row>
    <row r="266" spans="1:32"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row>
    <row r="267" spans="1:32"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row>
    <row r="268" spans="1:32"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row>
    <row r="269" spans="1:32"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row>
    <row r="270" spans="1:32"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row>
    <row r="271" spans="1:32"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row>
    <row r="272" spans="1:32"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row>
    <row r="273" spans="1:32"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row>
    <row r="274" spans="1:32"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row>
    <row r="275" spans="1:32"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row>
    <row r="276" spans="1:32"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row>
    <row r="277" spans="1:32"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row>
    <row r="278" spans="1:32"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row>
    <row r="279" spans="1:32"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row>
    <row r="280" spans="1:32"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row>
    <row r="281" spans="1:32"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row>
    <row r="282" spans="1:32"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row>
    <row r="283" spans="1:32"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row>
    <row r="284" spans="1:32"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row>
    <row r="285" spans="1:32"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row>
    <row r="286" spans="1:32"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row>
    <row r="287" spans="1:32"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03"/>
      <c r="AE287" s="403"/>
      <c r="AF287" s="403"/>
    </row>
    <row r="288" spans="1:32"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03"/>
      <c r="AE288" s="403"/>
      <c r="AF288" s="403"/>
    </row>
    <row r="289" spans="1:32" hidden="1"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c r="AD289" s="403"/>
      <c r="AE289" s="403"/>
      <c r="AF289" s="403"/>
    </row>
    <row r="290" spans="1:32" hidden="1" x14ac:dyDescent="0.2">
      <c r="A290" s="403"/>
      <c r="B290" s="403"/>
      <c r="C290" s="403"/>
      <c r="D290" s="403"/>
      <c r="E290" s="403"/>
      <c r="F290" s="403"/>
      <c r="G290" s="403"/>
      <c r="H290" s="403"/>
      <c r="I290" s="403"/>
      <c r="J290" s="403"/>
      <c r="K290" s="403"/>
      <c r="L290" s="407"/>
      <c r="M290" s="407"/>
      <c r="N290" s="407"/>
      <c r="O290" s="403"/>
      <c r="P290" s="403"/>
      <c r="Q290" s="403"/>
      <c r="R290" s="403"/>
      <c r="S290" s="403"/>
      <c r="T290" s="407"/>
      <c r="U290" s="407"/>
      <c r="V290" s="407"/>
      <c r="W290" s="403"/>
      <c r="X290" s="403"/>
      <c r="Y290" s="403"/>
      <c r="Z290" s="403"/>
      <c r="AA290" s="403"/>
      <c r="AB290" s="403"/>
      <c r="AC290" s="403"/>
      <c r="AD290" s="403"/>
      <c r="AE290" s="403"/>
      <c r="AF290" s="403"/>
    </row>
    <row r="291" spans="1:32" hidden="1" x14ac:dyDescent="0.2">
      <c r="A291" s="403"/>
      <c r="B291" s="403"/>
      <c r="C291" s="403"/>
      <c r="D291" s="403"/>
      <c r="E291" s="403"/>
      <c r="F291" s="403"/>
      <c r="G291" s="403"/>
      <c r="H291" s="403"/>
      <c r="I291" s="403"/>
      <c r="J291" s="403"/>
      <c r="K291" s="403"/>
      <c r="L291" s="407"/>
      <c r="M291" s="407"/>
      <c r="N291" s="407"/>
      <c r="O291" s="403"/>
      <c r="P291" s="403"/>
      <c r="Q291" s="403"/>
      <c r="R291" s="403"/>
      <c r="S291" s="403"/>
      <c r="T291" s="407"/>
      <c r="U291" s="407"/>
      <c r="V291" s="407"/>
      <c r="W291" s="403"/>
      <c r="X291" s="403"/>
      <c r="Y291" s="403"/>
      <c r="Z291" s="403"/>
      <c r="AA291" s="403"/>
      <c r="AB291" s="403"/>
      <c r="AC291" s="403"/>
      <c r="AD291" s="403"/>
      <c r="AE291" s="403"/>
      <c r="AF291" s="403"/>
    </row>
    <row r="292" spans="1:32" hidden="1" x14ac:dyDescent="0.2">
      <c r="A292" s="403"/>
      <c r="B292" s="403"/>
      <c r="C292" s="403"/>
      <c r="D292" s="403"/>
      <c r="E292" s="403"/>
      <c r="F292" s="403"/>
      <c r="G292" s="403"/>
      <c r="H292" s="403"/>
      <c r="I292" s="403"/>
      <c r="J292" s="403"/>
      <c r="K292" s="403"/>
      <c r="L292" s="407"/>
      <c r="M292" s="407"/>
      <c r="N292" s="407"/>
      <c r="O292" s="403"/>
      <c r="P292" s="403"/>
      <c r="Q292" s="403"/>
      <c r="R292" s="403"/>
      <c r="S292" s="403"/>
      <c r="T292" s="407"/>
      <c r="U292" s="407"/>
      <c r="V292" s="407"/>
      <c r="W292" s="403"/>
      <c r="X292" s="403"/>
      <c r="Y292" s="403"/>
      <c r="Z292" s="403"/>
      <c r="AA292" s="403"/>
      <c r="AB292" s="403"/>
      <c r="AC292" s="403"/>
      <c r="AD292" s="403"/>
      <c r="AE292" s="403"/>
      <c r="AF292" s="403"/>
    </row>
    <row r="293" spans="1:32" hidden="1" x14ac:dyDescent="0.2">
      <c r="D293" s="448"/>
      <c r="E293" s="448"/>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row>
    <row r="294" spans="1:32" hidden="1" x14ac:dyDescent="0.2">
      <c r="D294" s="452"/>
      <c r="E294" s="452"/>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row>
    <row r="295" spans="1:32"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53"/>
      <c r="X295" s="403"/>
      <c r="Y295" s="403"/>
      <c r="Z295" s="403"/>
      <c r="AA295" s="403"/>
      <c r="AB295" s="403"/>
      <c r="AC295" s="403"/>
      <c r="AD295" s="403"/>
      <c r="AE295" s="403"/>
      <c r="AF295" s="403"/>
    </row>
    <row r="296" spans="1:32"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row>
    <row r="297" spans="1:32"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row>
    <row r="298" spans="1:32" x14ac:dyDescent="0.2">
      <c r="D298" s="404"/>
      <c r="E298" s="404"/>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row>
    <row r="299" spans="1:32" x14ac:dyDescent="0.2">
      <c r="A299" s="403"/>
      <c r="B299" s="403"/>
      <c r="C299" s="447" t="s">
        <v>69</v>
      </c>
      <c r="D299" s="404"/>
      <c r="E299" s="404"/>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row>
    <row r="300" spans="1:32" x14ac:dyDescent="0.2">
      <c r="A300" s="449">
        <v>1</v>
      </c>
      <c r="B300" s="450" t="str">
        <f t="shared" ref="B300:B320" si="7">IFERROR(INDEX(B$1:B$94,MATCH(A300,A$1:A$94,0)),"")</f>
        <v>Kenneth Muusikus</v>
      </c>
      <c r="C300" s="981">
        <v>40</v>
      </c>
      <c r="D300" s="621"/>
      <c r="E300" s="404"/>
      <c r="F300" s="403"/>
      <c r="G300" s="403"/>
      <c r="H300" s="403"/>
      <c r="I300" s="403"/>
      <c r="J300" s="403"/>
      <c r="K300" s="403"/>
      <c r="L300" s="403"/>
      <c r="M300" s="403"/>
      <c r="N300" s="403"/>
      <c r="O300" s="403"/>
      <c r="P300" s="403"/>
      <c r="Q300" s="403"/>
      <c r="R300" s="403"/>
      <c r="S300" s="403"/>
      <c r="T300" s="403"/>
      <c r="U300" s="403"/>
      <c r="V300" s="403"/>
      <c r="W300" s="453"/>
      <c r="X300" s="403"/>
      <c r="Y300" s="403"/>
      <c r="Z300" s="403"/>
      <c r="AA300" s="403"/>
      <c r="AB300" s="403"/>
      <c r="AC300" s="403"/>
      <c r="AD300" s="403"/>
      <c r="AE300" s="403"/>
      <c r="AF300" s="403"/>
    </row>
    <row r="301" spans="1:32" x14ac:dyDescent="0.2">
      <c r="A301" s="449">
        <v>2</v>
      </c>
      <c r="B301" s="450" t="str">
        <f t="shared" si="7"/>
        <v>Matti Vinni</v>
      </c>
      <c r="C301" s="981">
        <v>34</v>
      </c>
      <c r="D301" s="621"/>
      <c r="E301" s="404"/>
      <c r="F301" s="403"/>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row>
    <row r="302" spans="1:32" x14ac:dyDescent="0.2">
      <c r="A302" s="449">
        <v>3</v>
      </c>
      <c r="B302" s="450" t="str">
        <f t="shared" si="7"/>
        <v>Oleg Rõndenkov</v>
      </c>
      <c r="C302" s="981">
        <v>30</v>
      </c>
      <c r="D302" s="621"/>
      <c r="E302" s="404"/>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row>
    <row r="303" spans="1:32" x14ac:dyDescent="0.2">
      <c r="A303" s="449">
        <v>4</v>
      </c>
      <c r="B303" s="450" t="str">
        <f t="shared" si="7"/>
        <v>Henri Mitt</v>
      </c>
      <c r="C303" s="981">
        <v>26</v>
      </c>
      <c r="D303" s="621"/>
      <c r="E303" s="404"/>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row>
    <row r="304" spans="1:32" x14ac:dyDescent="0.2">
      <c r="A304" s="449">
        <v>5</v>
      </c>
      <c r="B304" s="450" t="str">
        <f t="shared" si="7"/>
        <v>Oskar Sepp</v>
      </c>
      <c r="C304" s="981">
        <v>24</v>
      </c>
      <c r="D304" s="451"/>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row>
    <row r="305" spans="1:32" x14ac:dyDescent="0.2">
      <c r="A305" s="449">
        <v>6</v>
      </c>
      <c r="B305" s="450" t="str">
        <f t="shared" si="7"/>
        <v>Andres Veski</v>
      </c>
      <c r="C305" s="981">
        <v>22</v>
      </c>
      <c r="D305" s="451"/>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row>
    <row r="306" spans="1:32" x14ac:dyDescent="0.2">
      <c r="A306" s="449">
        <v>7</v>
      </c>
      <c r="B306" s="450" t="str">
        <f t="shared" si="7"/>
        <v>Svetlana Veski</v>
      </c>
      <c r="C306" s="981">
        <v>20</v>
      </c>
      <c r="D306" s="451"/>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c r="AA306" s="403"/>
      <c r="AB306" s="403"/>
      <c r="AC306" s="403"/>
      <c r="AD306" s="403"/>
      <c r="AE306" s="403"/>
      <c r="AF306" s="403"/>
    </row>
    <row r="307" spans="1:32" x14ac:dyDescent="0.2">
      <c r="A307" s="449">
        <v>8</v>
      </c>
      <c r="B307" s="450" t="str">
        <f t="shared" si="7"/>
        <v>Andrei Grintšak</v>
      </c>
      <c r="C307" s="981">
        <v>18</v>
      </c>
      <c r="D307" s="461"/>
    </row>
    <row r="308" spans="1:32" x14ac:dyDescent="0.2">
      <c r="A308" s="449">
        <v>9</v>
      </c>
      <c r="B308" s="450" t="str">
        <f t="shared" si="7"/>
        <v>Oksana Rõndenkova</v>
      </c>
      <c r="C308" s="981">
        <v>16</v>
      </c>
      <c r="D308" s="461"/>
    </row>
    <row r="309" spans="1:32" x14ac:dyDescent="0.2">
      <c r="A309" s="449">
        <v>10</v>
      </c>
      <c r="B309" s="450" t="str">
        <f t="shared" si="7"/>
        <v>Kaspar Mänd</v>
      </c>
      <c r="C309" s="621">
        <v>14</v>
      </c>
      <c r="D309" s="461"/>
    </row>
    <row r="310" spans="1:32" x14ac:dyDescent="0.2">
      <c r="A310" s="449">
        <v>11</v>
      </c>
      <c r="B310" s="450" t="str">
        <f t="shared" si="7"/>
        <v>Jaan Sepp</v>
      </c>
      <c r="C310" s="621">
        <v>12</v>
      </c>
      <c r="D310" s="461"/>
    </row>
    <row r="311" spans="1:32" x14ac:dyDescent="0.2">
      <c r="A311" s="449">
        <v>12</v>
      </c>
      <c r="B311" s="450" t="str">
        <f t="shared" si="7"/>
        <v>Elmo Lageda</v>
      </c>
      <c r="C311" s="621">
        <v>10</v>
      </c>
      <c r="D311" s="461"/>
    </row>
    <row r="312" spans="1:32" x14ac:dyDescent="0.2">
      <c r="A312" s="449">
        <v>13</v>
      </c>
      <c r="B312" s="450" t="str">
        <f t="shared" si="7"/>
        <v>Enn Tokman</v>
      </c>
      <c r="C312" s="621">
        <v>8</v>
      </c>
      <c r="D312" s="461"/>
    </row>
    <row r="313" spans="1:32" x14ac:dyDescent="0.2">
      <c r="A313" s="449">
        <v>14</v>
      </c>
      <c r="B313" s="450" t="str">
        <f t="shared" si="7"/>
        <v>Marta Bernat</v>
      </c>
      <c r="C313" s="621">
        <v>6</v>
      </c>
      <c r="D313" s="461"/>
    </row>
    <row r="314" spans="1:32" x14ac:dyDescent="0.2">
      <c r="A314" s="449">
        <v>15</v>
      </c>
      <c r="B314" s="450" t="str">
        <f t="shared" si="7"/>
        <v>Viktor Švarõgin</v>
      </c>
      <c r="C314" s="621">
        <v>4</v>
      </c>
      <c r="D314" s="461"/>
    </row>
    <row r="315" spans="1:32" x14ac:dyDescent="0.2">
      <c r="A315" s="449">
        <v>16</v>
      </c>
      <c r="B315" s="450" t="str">
        <f t="shared" si="7"/>
        <v>Toomas Tedrekull</v>
      </c>
      <c r="C315" s="621">
        <v>2</v>
      </c>
      <c r="D315" s="461"/>
    </row>
    <row r="316" spans="1:32" x14ac:dyDescent="0.2">
      <c r="A316" s="449">
        <v>17</v>
      </c>
      <c r="B316" s="450" t="str">
        <f t="shared" si="7"/>
        <v>Urmas Randlaine</v>
      </c>
      <c r="C316" s="621">
        <v>1</v>
      </c>
      <c r="D316" s="461"/>
    </row>
    <row r="317" spans="1:32" x14ac:dyDescent="0.2">
      <c r="A317" s="449">
        <v>18</v>
      </c>
      <c r="B317" s="450" t="str">
        <f t="shared" si="7"/>
        <v>Illar Tõnurist</v>
      </c>
      <c r="C317" s="621">
        <v>1</v>
      </c>
      <c r="D317" s="461"/>
    </row>
    <row r="318" spans="1:32" x14ac:dyDescent="0.2">
      <c r="A318" s="449">
        <v>19</v>
      </c>
      <c r="B318" s="450" t="str">
        <f t="shared" si="7"/>
        <v>Ljudmila Varendi</v>
      </c>
      <c r="C318" s="621">
        <v>1</v>
      </c>
    </row>
    <row r="319" spans="1:32" x14ac:dyDescent="0.2">
      <c r="A319" s="449">
        <v>20</v>
      </c>
      <c r="B319" s="450" t="str">
        <f t="shared" si="7"/>
        <v>Tarmo Bombe</v>
      </c>
      <c r="C319" s="621">
        <v>1</v>
      </c>
    </row>
    <row r="320" spans="1:32" x14ac:dyDescent="0.2">
      <c r="A320" s="449">
        <v>21</v>
      </c>
      <c r="B320" s="450" t="str">
        <f t="shared" si="7"/>
        <v>Liidia Põllu</v>
      </c>
      <c r="C320" s="621">
        <v>1</v>
      </c>
    </row>
    <row r="321" spans="1:3" x14ac:dyDescent="0.2">
      <c r="A321" s="449">
        <v>22</v>
      </c>
      <c r="B321" s="450" t="str">
        <f>IFERROR(INDEX(B$1:B$94,MATCH(A321,A$1:A$94,0)),"")</f>
        <v>Janek Tarto</v>
      </c>
      <c r="C321" s="621">
        <v>1</v>
      </c>
    </row>
    <row r="322" spans="1:3" x14ac:dyDescent="0.2">
      <c r="A322" s="449">
        <v>23</v>
      </c>
      <c r="B322" s="450" t="str">
        <f>IFERROR(INDEX(B$1:B$94,MATCH(A322,A$1:A$94,0)),"")</f>
        <v>Veronika Pirk</v>
      </c>
      <c r="C322" s="621">
        <v>1</v>
      </c>
    </row>
    <row r="323" spans="1:3" x14ac:dyDescent="0.2">
      <c r="A323" s="449">
        <v>24</v>
      </c>
      <c r="B323" s="450" t="str">
        <f>IFERROR(INDEX(B$1:B$94,MATCH(A323,A$1:A$94,0)),"")</f>
        <v>Boriss Klubov</v>
      </c>
      <c r="C323" s="621">
        <v>1</v>
      </c>
    </row>
  </sheetData>
  <conditionalFormatting sqref="C8:C32">
    <cfRule type="expression" dxfId="2111" priority="15">
      <formula>IF($C8&gt;$E8,TRUE)</formula>
    </cfRule>
  </conditionalFormatting>
  <conditionalFormatting sqref="E8:E32">
    <cfRule type="expression" dxfId="2110" priority="16">
      <formula>IF($C8&lt;$E8,TRUE)</formula>
    </cfRule>
  </conditionalFormatting>
  <conditionalFormatting sqref="K8:K32">
    <cfRule type="expression" dxfId="2109" priority="23">
      <formula>IF($K8&gt;$M8,TRUE)</formula>
    </cfRule>
  </conditionalFormatting>
  <conditionalFormatting sqref="M8:M32">
    <cfRule type="expression" dxfId="2108" priority="24">
      <formula>IF($K8&lt;$M8,TRUE)</formula>
    </cfRule>
  </conditionalFormatting>
  <conditionalFormatting sqref="O8:O32">
    <cfRule type="expression" dxfId="2107" priority="27">
      <formula>IF($O8&gt;$Q8,TRUE)</formula>
    </cfRule>
  </conditionalFormatting>
  <conditionalFormatting sqref="Q8:Q32">
    <cfRule type="expression" dxfId="2106" priority="28">
      <formula>IF($O8&lt;$Q8,TRUE)</formula>
    </cfRule>
  </conditionalFormatting>
  <conditionalFormatting sqref="S8:S32">
    <cfRule type="expression" dxfId="2105" priority="31">
      <formula>IF($S8&gt;$U8,TRUE)</formula>
    </cfRule>
  </conditionalFormatting>
  <conditionalFormatting sqref="U8:U32">
    <cfRule type="expression" dxfId="2104" priority="32">
      <formula>IF($S8&lt;$U8,TRUE)</formula>
    </cfRule>
  </conditionalFormatting>
  <conditionalFormatting sqref="G8:G32">
    <cfRule type="expression" dxfId="2103" priority="19">
      <formula>IF($G8&gt;$I8,TRUE)</formula>
    </cfRule>
  </conditionalFormatting>
  <conditionalFormatting sqref="I8:I32">
    <cfRule type="expression" dxfId="2102" priority="20">
      <formula>IF($G8&lt;$I8,TRUE)</formula>
    </cfRule>
  </conditionalFormatting>
  <conditionalFormatting sqref="F8:F32">
    <cfRule type="containsText" dxfId="2101" priority="6" operator="containsText" text="vaba voor">
      <formula>NOT(ISERROR(SEARCH("vaba voor",F8)))</formula>
    </cfRule>
  </conditionalFormatting>
  <conditionalFormatting sqref="N8:N32">
    <cfRule type="containsText" dxfId="2100" priority="4" operator="containsText" text="vaba voor">
      <formula>NOT(ISERROR(SEARCH("vaba voor",N8)))</formula>
    </cfRule>
  </conditionalFormatting>
  <conditionalFormatting sqref="R8:R32">
    <cfRule type="containsText" dxfId="2099" priority="7" operator="containsText" text="vaba voor">
      <formula>NOT(ISERROR(SEARCH("vaba voor",R8)))</formula>
    </cfRule>
  </conditionalFormatting>
  <conditionalFormatting sqref="V8:V32">
    <cfRule type="containsText" dxfId="2098" priority="3" operator="containsText" text="vaba voor">
      <formula>NOT(ISERROR(SEARCH("vaba voor",V8)))</formula>
    </cfRule>
  </conditionalFormatting>
  <conditionalFormatting sqref="J8:J32">
    <cfRule type="containsText" dxfId="2097" priority="5" operator="containsText" text="vaba voor">
      <formula>NOT(ISERROR(SEARCH("vaba voor",J8)))</formula>
    </cfRule>
  </conditionalFormatting>
  <conditionalFormatting sqref="C8:F32">
    <cfRule type="expression" dxfId="2096" priority="11">
      <formula>IF(AND(ISNUMBER($C8),$C8=$E8),TRUE)</formula>
    </cfRule>
    <cfRule type="expression" dxfId="2095" priority="13">
      <formula>IF($C8&gt;$E8,TRUE)</formula>
    </cfRule>
    <cfRule type="expression" dxfId="2094" priority="14">
      <formula>IF($C8&lt;$E8,TRUE)</formula>
    </cfRule>
  </conditionalFormatting>
  <conditionalFormatting sqref="G8:J32">
    <cfRule type="expression" dxfId="2093" priority="12">
      <formula>IF(AND(ISNUMBER($G8),$G8=$I8),TRUE)</formula>
    </cfRule>
    <cfRule type="expression" dxfId="2092" priority="17">
      <formula>IF($G8&gt;$I8,TRUE)</formula>
    </cfRule>
    <cfRule type="expression" dxfId="2091" priority="18">
      <formula>IF($G8&lt;$I8,TRUE)</formula>
    </cfRule>
  </conditionalFormatting>
  <conditionalFormatting sqref="K8:N32">
    <cfRule type="expression" dxfId="2090" priority="10">
      <formula>IF(AND(ISNUMBER($K8),$K8=$M8),TRUE)</formula>
    </cfRule>
    <cfRule type="expression" dxfId="2089" priority="21">
      <formula>IF($K8&gt;$M8,TRUE)</formula>
    </cfRule>
    <cfRule type="expression" dxfId="2088" priority="22">
      <formula>IF($K8&lt;$M8,TRUE)</formula>
    </cfRule>
  </conditionalFormatting>
  <conditionalFormatting sqref="O8:R32">
    <cfRule type="expression" dxfId="2087" priority="9">
      <formula>IF(AND(ISNUMBER($O8),$O8=$Q8),TRUE)</formula>
    </cfRule>
    <cfRule type="expression" dxfId="2086" priority="25">
      <formula>IF($O8&gt;$Q8,TRUE)</formula>
    </cfRule>
    <cfRule type="expression" dxfId="2085" priority="26">
      <formula>IF($O8&lt;$Q8,TRUE)</formula>
    </cfRule>
  </conditionalFormatting>
  <conditionalFormatting sqref="S8:V32">
    <cfRule type="expression" dxfId="2084" priority="8">
      <formula>IF(AND(ISNUMBER($S8),$S8=$U8),TRUE)</formula>
    </cfRule>
    <cfRule type="expression" dxfId="2083" priority="29">
      <formula>IF($S8&gt;$U8,TRUE)</formula>
    </cfRule>
    <cfRule type="expression" dxfId="2082" priority="30">
      <formula>IF($S8&lt;$U8,TRUE)</formula>
    </cfRule>
  </conditionalFormatting>
  <conditionalFormatting sqref="C8:C32 G8:G32 K8:K32 O8:O32 S8:S32">
    <cfRule type="expression" dxfId="2081" priority="2">
      <formula>AND(C8=0,E8=13)</formula>
    </cfRule>
  </conditionalFormatting>
  <conditionalFormatting sqref="A8:A32">
    <cfRule type="duplicateValues" dxfId="2080" priority="33"/>
  </conditionalFormatting>
  <conditionalFormatting sqref="A300:A323">
    <cfRule type="duplicateValues" dxfId="2079" priority="34"/>
  </conditionalFormatting>
  <conditionalFormatting sqref="B300:B323">
    <cfRule type="expression" dxfId="2078" priority="35">
      <formula>A300=3</formula>
    </cfRule>
    <cfRule type="expression" dxfId="2077" priority="36">
      <formula>A300=2</formula>
    </cfRule>
    <cfRule type="expression" dxfId="2076" priority="37">
      <formula>A300=1</formula>
    </cfRule>
    <cfRule type="containsBlanks" dxfId="2075" priority="38">
      <formula>LEN(TRIM(B300))=0</formula>
    </cfRule>
    <cfRule type="duplicateValues" dxfId="2074" priority="39"/>
  </conditionalFormatting>
  <conditionalFormatting sqref="AE8:AE33">
    <cfRule type="expression" dxfId="2073" priority="1">
      <formula>AND(AF8="",COUNTIF(AE8,"*,*")=0)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310"/>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 customWidth="1"/>
    <col min="2" max="2" width="18.7109375" customWidth="1"/>
    <col min="3" max="22" width="2.85546875" customWidth="1"/>
    <col min="23" max="23" width="3" customWidth="1"/>
    <col min="24" max="24" width="10.5703125" customWidth="1"/>
    <col min="25" max="26" width="4" hidden="1" customWidth="1"/>
    <col min="27" max="27" width="4.5703125" hidden="1" customWidth="1"/>
    <col min="29" max="29" width="9.140625" customWidth="1"/>
    <col min="30" max="30" width="9.140625" hidden="1" customWidth="1"/>
    <col min="31" max="31" width="15.28515625" hidden="1" customWidth="1"/>
    <col min="32" max="32" width="9.140625" hidden="1" customWidth="1"/>
  </cols>
  <sheetData>
    <row r="1" spans="1:32" x14ac:dyDescent="0.2">
      <c r="A1" s="462" t="str">
        <f>UPPER((Kalend!E19)&amp;" - "&amp;(Kalend!C19)&amp;" - "&amp;(Kalend!D19))</f>
        <v>8 - IDA-VIRUMAA MV - TULISTAMINE</v>
      </c>
      <c r="B1" s="452"/>
      <c r="C1" s="452"/>
      <c r="D1" s="452"/>
      <c r="E1" s="452"/>
      <c r="F1" s="452"/>
      <c r="G1" s="452"/>
      <c r="H1" s="452"/>
      <c r="I1" s="452"/>
      <c r="J1" s="452"/>
      <c r="K1" s="452"/>
      <c r="L1" s="452"/>
      <c r="W1" s="452"/>
      <c r="X1" s="452"/>
      <c r="Y1" s="548"/>
      <c r="Z1" s="548"/>
      <c r="AA1" s="548"/>
      <c r="AB1" s="452"/>
      <c r="AD1" s="176" t="s">
        <v>68</v>
      </c>
      <c r="AE1" s="536"/>
      <c r="AF1" s="536"/>
    </row>
    <row r="2" spans="1:32" x14ac:dyDescent="0.2">
      <c r="A2" s="409" t="str">
        <f>"Toimumisaeg: "&amp;(Kalend!A19)&amp;" kell "&amp;(Kalend!B19)</f>
        <v>Toimumisaeg: T, 22.06.2021 kell 18:00</v>
      </c>
      <c r="B2" s="452"/>
      <c r="C2" s="452"/>
      <c r="D2" s="452"/>
      <c r="E2" s="452"/>
      <c r="F2" s="452"/>
      <c r="G2" s="452"/>
      <c r="H2" s="452"/>
      <c r="I2" s="452"/>
      <c r="J2" s="452"/>
      <c r="K2" s="452"/>
      <c r="L2" s="452"/>
      <c r="M2" s="452"/>
      <c r="N2" s="452"/>
      <c r="O2" s="452"/>
      <c r="P2" s="452"/>
      <c r="Q2" s="452"/>
      <c r="R2" s="188"/>
      <c r="S2" s="188"/>
      <c r="T2" s="188"/>
      <c r="U2" s="452"/>
      <c r="V2" s="452"/>
      <c r="W2" s="452"/>
      <c r="X2" s="452"/>
      <c r="Y2" s="452"/>
      <c r="Z2" s="452"/>
      <c r="AA2" s="452"/>
      <c r="AB2" s="452"/>
      <c r="AD2" s="409"/>
      <c r="AE2" s="409"/>
      <c r="AF2" s="409"/>
    </row>
    <row r="3" spans="1:32" x14ac:dyDescent="0.2">
      <c r="A3" s="409" t="str">
        <f>"Toimumiskoht: "&amp;(Kalend!F19)</f>
        <v>Toimumiskoht: K-Järve spordihoone</v>
      </c>
      <c r="B3" s="452"/>
      <c r="C3" s="452"/>
      <c r="D3" s="452"/>
      <c r="E3" s="452"/>
      <c r="F3" s="452"/>
      <c r="G3" s="452"/>
      <c r="H3" s="452"/>
      <c r="I3" s="452"/>
      <c r="J3" s="452"/>
      <c r="K3" s="452"/>
      <c r="L3" s="452"/>
      <c r="M3" s="452"/>
      <c r="N3" s="452"/>
      <c r="O3" s="452"/>
      <c r="P3" s="452"/>
      <c r="Q3" s="452"/>
      <c r="R3" s="188"/>
      <c r="S3" s="188"/>
      <c r="T3" s="188"/>
      <c r="U3" s="452"/>
      <c r="V3" s="452"/>
      <c r="W3" s="452"/>
      <c r="X3" s="452"/>
      <c r="Y3" s="452"/>
      <c r="Z3" s="452"/>
      <c r="AA3" s="452"/>
      <c r="AB3" s="452"/>
      <c r="AD3" s="537" t="s">
        <v>231</v>
      </c>
      <c r="AF3" s="409"/>
    </row>
    <row r="4" spans="1:32" x14ac:dyDescent="0.2">
      <c r="A4" s="409" t="str">
        <f>"Korraldaja: "&amp;(Kalend!G19)</f>
        <v>Korraldaja: Ivar Viljaste</v>
      </c>
      <c r="B4" s="452"/>
      <c r="C4" s="452"/>
      <c r="D4" s="452"/>
      <c r="E4" s="452"/>
      <c r="F4" s="452"/>
      <c r="G4" s="452"/>
      <c r="H4" s="452"/>
      <c r="I4" s="452"/>
      <c r="J4" s="452"/>
      <c r="K4" s="452"/>
      <c r="L4" s="452"/>
      <c r="M4" s="452"/>
      <c r="N4" s="452"/>
      <c r="O4" s="452"/>
      <c r="P4" s="452"/>
      <c r="Q4" s="452"/>
      <c r="R4" s="188"/>
      <c r="S4" s="188"/>
      <c r="T4" s="188"/>
      <c r="U4" s="452"/>
      <c r="V4" s="452"/>
      <c r="W4" s="452"/>
      <c r="X4" s="452"/>
      <c r="Y4" s="452"/>
      <c r="Z4" s="452"/>
      <c r="AA4" s="452"/>
      <c r="AB4" s="452"/>
      <c r="AD4" s="538" t="s">
        <v>287</v>
      </c>
      <c r="AE4" s="539"/>
      <c r="AF4" s="539"/>
    </row>
    <row r="5" spans="1:32" ht="13.5" thickBot="1" x14ac:dyDescent="0.25">
      <c r="A5" s="188"/>
      <c r="B5" s="188"/>
      <c r="C5" s="188"/>
      <c r="D5" s="188"/>
      <c r="E5" s="188"/>
      <c r="F5" s="188"/>
      <c r="G5" s="188"/>
      <c r="H5" s="188"/>
      <c r="I5" s="188"/>
      <c r="J5" s="188"/>
      <c r="K5" s="188"/>
      <c r="L5" s="452"/>
      <c r="M5" s="452"/>
      <c r="N5" s="452"/>
      <c r="O5" s="452"/>
      <c r="P5" s="452"/>
      <c r="Q5" s="452"/>
      <c r="R5" s="452"/>
      <c r="S5" s="452"/>
      <c r="T5" s="452"/>
      <c r="U5" s="452"/>
      <c r="V5" s="452"/>
      <c r="W5" s="452"/>
      <c r="X5" s="452"/>
      <c r="Y5" s="452"/>
      <c r="Z5" s="452"/>
      <c r="AA5" s="452"/>
      <c r="AB5" s="452"/>
      <c r="AD5" s="538" t="s">
        <v>233</v>
      </c>
      <c r="AE5" s="540" t="s">
        <v>93</v>
      </c>
      <c r="AF5" s="540"/>
    </row>
    <row r="6" spans="1:32" ht="63.75" customHeight="1" thickBot="1" x14ac:dyDescent="0.25">
      <c r="A6" s="463"/>
      <c r="B6" s="464"/>
      <c r="C6" s="465"/>
      <c r="D6" s="465"/>
      <c r="E6" s="465"/>
      <c r="F6" s="465"/>
      <c r="G6" s="466"/>
      <c r="H6" s="465"/>
      <c r="I6" s="465"/>
      <c r="J6" s="467"/>
      <c r="K6" s="465"/>
      <c r="L6" s="465"/>
      <c r="M6" s="465"/>
      <c r="N6" s="465"/>
      <c r="O6" s="466"/>
      <c r="P6" s="465"/>
      <c r="Q6" s="465"/>
      <c r="R6" s="467"/>
      <c r="S6" s="465"/>
      <c r="T6" s="465"/>
      <c r="U6" s="465"/>
      <c r="V6" s="465"/>
      <c r="W6" s="468"/>
      <c r="X6" s="468"/>
      <c r="Y6" s="527"/>
      <c r="Z6" s="527"/>
      <c r="AA6" s="527"/>
      <c r="AB6" s="527"/>
      <c r="AD6" s="541" t="s">
        <v>245</v>
      </c>
      <c r="AE6" s="539"/>
      <c r="AF6" s="539"/>
    </row>
    <row r="7" spans="1:32" ht="13.5" thickBot="1" x14ac:dyDescent="0.25">
      <c r="A7" s="469"/>
      <c r="B7" s="470"/>
      <c r="C7" s="471">
        <v>6</v>
      </c>
      <c r="D7" s="472">
        <v>7</v>
      </c>
      <c r="E7" s="472">
        <v>8</v>
      </c>
      <c r="F7" s="473">
        <v>9</v>
      </c>
      <c r="G7" s="471">
        <v>6</v>
      </c>
      <c r="H7" s="472">
        <v>7</v>
      </c>
      <c r="I7" s="472">
        <v>8</v>
      </c>
      <c r="J7" s="473">
        <v>9</v>
      </c>
      <c r="K7" s="471">
        <v>6</v>
      </c>
      <c r="L7" s="472">
        <v>7</v>
      </c>
      <c r="M7" s="472">
        <v>8</v>
      </c>
      <c r="N7" s="473">
        <v>9</v>
      </c>
      <c r="O7" s="471">
        <v>6</v>
      </c>
      <c r="P7" s="472">
        <v>7</v>
      </c>
      <c r="Q7" s="472">
        <v>8</v>
      </c>
      <c r="R7" s="473">
        <v>9</v>
      </c>
      <c r="S7" s="471">
        <v>6</v>
      </c>
      <c r="T7" s="472">
        <v>7</v>
      </c>
      <c r="U7" s="472">
        <v>8</v>
      </c>
      <c r="V7" s="473">
        <v>9</v>
      </c>
      <c r="W7" s="474" t="s">
        <v>94</v>
      </c>
      <c r="X7" s="475" t="s">
        <v>281</v>
      </c>
      <c r="Y7" s="542"/>
      <c r="Z7" s="542"/>
      <c r="AA7" s="542"/>
      <c r="AB7" s="542"/>
      <c r="AD7" s="542"/>
      <c r="AE7" s="542"/>
      <c r="AF7" s="542"/>
    </row>
    <row r="8" spans="1:32" x14ac:dyDescent="0.2">
      <c r="A8" s="476"/>
      <c r="B8" s="477" t="s">
        <v>282</v>
      </c>
      <c r="C8" s="478"/>
      <c r="D8" s="479"/>
      <c r="E8" s="479"/>
      <c r="F8" s="480"/>
      <c r="G8" s="478"/>
      <c r="H8" s="479"/>
      <c r="I8" s="479"/>
      <c r="J8" s="480"/>
      <c r="K8" s="478"/>
      <c r="L8" s="479"/>
      <c r="M8" s="479"/>
      <c r="N8" s="480"/>
      <c r="O8" s="478"/>
      <c r="P8" s="479"/>
      <c r="Q8" s="479"/>
      <c r="R8" s="480"/>
      <c r="S8" s="478"/>
      <c r="T8" s="479"/>
      <c r="U8" s="479"/>
      <c r="V8" s="480"/>
      <c r="W8" s="476"/>
      <c r="X8" s="481"/>
      <c r="Y8" s="527"/>
      <c r="Z8" s="527"/>
      <c r="AA8" s="527"/>
      <c r="AB8" s="527"/>
      <c r="AD8" s="527"/>
      <c r="AE8" s="527"/>
      <c r="AF8" s="527"/>
    </row>
    <row r="9" spans="1:32" x14ac:dyDescent="0.2">
      <c r="A9" s="482">
        <v>1</v>
      </c>
      <c r="B9" s="483" t="s">
        <v>401</v>
      </c>
      <c r="C9" s="484">
        <v>3</v>
      </c>
      <c r="D9" s="485">
        <v>0</v>
      </c>
      <c r="E9" s="485">
        <v>0</v>
      </c>
      <c r="F9" s="486">
        <v>0</v>
      </c>
      <c r="G9" s="484">
        <v>0</v>
      </c>
      <c r="H9" s="485">
        <v>0</v>
      </c>
      <c r="I9" s="485">
        <v>3</v>
      </c>
      <c r="J9" s="486">
        <v>0</v>
      </c>
      <c r="K9" s="484">
        <v>1</v>
      </c>
      <c r="L9" s="485">
        <v>0</v>
      </c>
      <c r="M9" s="485">
        <v>3</v>
      </c>
      <c r="N9" s="486">
        <v>0</v>
      </c>
      <c r="O9" s="484">
        <v>0</v>
      </c>
      <c r="P9" s="485">
        <v>0</v>
      </c>
      <c r="Q9" s="485">
        <v>0</v>
      </c>
      <c r="R9" s="486">
        <v>0</v>
      </c>
      <c r="S9" s="484">
        <v>0</v>
      </c>
      <c r="T9" s="485">
        <v>5</v>
      </c>
      <c r="U9" s="485">
        <v>0</v>
      </c>
      <c r="V9" s="486">
        <v>0</v>
      </c>
      <c r="W9" s="487">
        <f>IF(COUNTA(C9:V9)=0,"",SUM(C9:V9)+COUNTIF(C9:V9,5)/100+COUNTIF(C9:V9,3)/10000)</f>
        <v>15.010299999999999</v>
      </c>
      <c r="X9" s="487" t="str">
        <f t="shared" ref="X9:X19" si="0">IF(COUNTA(C9:V9)=0,"",IF(RANK(W9,$W$9:$W$19)&lt;9,"edasi "&amp;RANK(W9,$W$9:$W$19),RANK(W9,$W$9:$W$19)))</f>
        <v>edasi 7</v>
      </c>
      <c r="Y9" s="527"/>
      <c r="Z9" s="527"/>
      <c r="AA9" s="527"/>
      <c r="AB9" s="527"/>
      <c r="AD9" s="426">
        <f ca="1">SUM(AF9:AF9)</f>
        <v>116</v>
      </c>
      <c r="AE9" s="543" t="str">
        <f>$B9</f>
        <v>Olav Türk</v>
      </c>
      <c r="AF9" s="544">
        <f ca="1">IFERROR(INDEX(Reit!$I:$I,MATCH(AE9,Reit!$F:$F,0)),"")</f>
        <v>116</v>
      </c>
    </row>
    <row r="10" spans="1:32" x14ac:dyDescent="0.2">
      <c r="A10" s="482">
        <v>2</v>
      </c>
      <c r="B10" s="483" t="s">
        <v>143</v>
      </c>
      <c r="C10" s="484">
        <v>5</v>
      </c>
      <c r="D10" s="485">
        <v>0</v>
      </c>
      <c r="E10" s="485">
        <v>1</v>
      </c>
      <c r="F10" s="486">
        <v>0</v>
      </c>
      <c r="G10" s="484">
        <v>0</v>
      </c>
      <c r="H10" s="485">
        <v>0</v>
      </c>
      <c r="I10" s="485">
        <v>0</v>
      </c>
      <c r="J10" s="486">
        <v>3</v>
      </c>
      <c r="K10" s="484">
        <v>0</v>
      </c>
      <c r="L10" s="485">
        <v>0</v>
      </c>
      <c r="M10" s="485">
        <v>0</v>
      </c>
      <c r="N10" s="486">
        <v>0</v>
      </c>
      <c r="O10" s="484">
        <v>0</v>
      </c>
      <c r="P10" s="485">
        <v>0</v>
      </c>
      <c r="Q10" s="485">
        <v>5</v>
      </c>
      <c r="R10" s="486">
        <v>0</v>
      </c>
      <c r="S10" s="484">
        <v>0</v>
      </c>
      <c r="T10" s="485">
        <v>3</v>
      </c>
      <c r="U10" s="485">
        <v>0</v>
      </c>
      <c r="V10" s="486">
        <v>0</v>
      </c>
      <c r="W10" s="487">
        <f t="shared" ref="W10:W19" si="1">IF(COUNTA(C10:V10)=0,"",SUM(C10:V10)+COUNTIF(C10:V10,5)/100+COUNTIF(C10:V10,3)/10000)</f>
        <v>17.020199999999999</v>
      </c>
      <c r="X10" s="487" t="str">
        <f t="shared" si="0"/>
        <v>edasi 6</v>
      </c>
      <c r="Y10" s="527"/>
      <c r="Z10" s="527"/>
      <c r="AA10" s="527"/>
      <c r="AB10" s="527"/>
      <c r="AD10" s="426">
        <f t="shared" ref="AD10:AD19" ca="1" si="2">SUM(AF10:AF10)</f>
        <v>80</v>
      </c>
      <c r="AE10" s="543" t="str">
        <f t="shared" ref="AE10:AE19" si="3">$B10</f>
        <v>Urmas Jõeäär</v>
      </c>
      <c r="AF10" s="544">
        <f ca="1">IFERROR(INDEX(Reit!$I:$I,MATCH(AE10,Reit!$F:$F,0)),"")</f>
        <v>80</v>
      </c>
    </row>
    <row r="11" spans="1:32" x14ac:dyDescent="0.2">
      <c r="A11" s="488">
        <v>3</v>
      </c>
      <c r="B11" s="489" t="s">
        <v>126</v>
      </c>
      <c r="C11" s="490">
        <v>3</v>
      </c>
      <c r="D11" s="491">
        <v>0</v>
      </c>
      <c r="E11" s="491">
        <v>0</v>
      </c>
      <c r="F11" s="492">
        <v>0</v>
      </c>
      <c r="G11" s="490">
        <v>0</v>
      </c>
      <c r="H11" s="491">
        <v>3</v>
      </c>
      <c r="I11" s="491">
        <v>0</v>
      </c>
      <c r="J11" s="492">
        <v>0</v>
      </c>
      <c r="K11" s="490">
        <v>0</v>
      </c>
      <c r="L11" s="491">
        <v>0</v>
      </c>
      <c r="M11" s="491">
        <v>0</v>
      </c>
      <c r="N11" s="492">
        <v>0</v>
      </c>
      <c r="O11" s="490">
        <v>0</v>
      </c>
      <c r="P11" s="491">
        <v>0</v>
      </c>
      <c r="Q11" s="491">
        <v>0</v>
      </c>
      <c r="R11" s="492">
        <v>0</v>
      </c>
      <c r="S11" s="490">
        <v>0</v>
      </c>
      <c r="T11" s="491">
        <v>0</v>
      </c>
      <c r="U11" s="491">
        <v>0</v>
      </c>
      <c r="V11" s="492">
        <v>5</v>
      </c>
      <c r="W11" s="493">
        <f t="shared" si="1"/>
        <v>11.010199999999999</v>
      </c>
      <c r="X11" s="493">
        <f t="shared" si="0"/>
        <v>11</v>
      </c>
      <c r="Y11" s="527"/>
      <c r="Z11" s="527"/>
      <c r="AA11" s="527"/>
      <c r="AB11" s="527"/>
      <c r="AD11" s="426">
        <f t="shared" ca="1" si="2"/>
        <v>79</v>
      </c>
      <c r="AE11" s="543" t="str">
        <f t="shared" si="3"/>
        <v>Urmas Randlaine</v>
      </c>
      <c r="AF11" s="544">
        <f ca="1">IFERROR(INDEX(Reit!$I:$I,MATCH(AE11,Reit!$F:$F,0)),"")</f>
        <v>79</v>
      </c>
    </row>
    <row r="12" spans="1:32" x14ac:dyDescent="0.2">
      <c r="A12" s="488">
        <v>4</v>
      </c>
      <c r="B12" s="494" t="s">
        <v>123</v>
      </c>
      <c r="C12" s="490">
        <v>3</v>
      </c>
      <c r="D12" s="491">
        <v>0</v>
      </c>
      <c r="E12" s="491">
        <v>0</v>
      </c>
      <c r="F12" s="492">
        <v>0</v>
      </c>
      <c r="G12" s="490">
        <v>0</v>
      </c>
      <c r="H12" s="491">
        <v>0</v>
      </c>
      <c r="I12" s="491">
        <v>1</v>
      </c>
      <c r="J12" s="492">
        <v>3</v>
      </c>
      <c r="K12" s="490">
        <v>1</v>
      </c>
      <c r="L12" s="491">
        <v>0</v>
      </c>
      <c r="M12" s="491">
        <v>0</v>
      </c>
      <c r="N12" s="492">
        <v>0</v>
      </c>
      <c r="O12" s="490">
        <v>3</v>
      </c>
      <c r="P12" s="491">
        <v>0</v>
      </c>
      <c r="Q12" s="491">
        <v>0</v>
      </c>
      <c r="R12" s="492">
        <v>0</v>
      </c>
      <c r="S12" s="490">
        <v>0</v>
      </c>
      <c r="T12" s="491">
        <v>0</v>
      </c>
      <c r="U12" s="491">
        <v>0</v>
      </c>
      <c r="V12" s="492">
        <v>3</v>
      </c>
      <c r="W12" s="493">
        <f t="shared" si="1"/>
        <v>14.000400000000001</v>
      </c>
      <c r="X12" s="493">
        <f t="shared" si="0"/>
        <v>9</v>
      </c>
      <c r="Y12" s="527"/>
      <c r="Z12" s="527"/>
      <c r="AA12" s="527"/>
      <c r="AB12" s="527"/>
      <c r="AD12" s="426">
        <f t="shared" ca="1" si="2"/>
        <v>202</v>
      </c>
      <c r="AE12" s="543" t="str">
        <f t="shared" si="3"/>
        <v>Kristo Viljaste</v>
      </c>
      <c r="AF12" s="544">
        <f ca="1">IFERROR(INDEX(Reit!$I:$I,MATCH(AE12,Reit!$F:$F,0)),"")</f>
        <v>202</v>
      </c>
    </row>
    <row r="13" spans="1:32" x14ac:dyDescent="0.2">
      <c r="A13" s="482">
        <v>5</v>
      </c>
      <c r="B13" s="495" t="s">
        <v>108</v>
      </c>
      <c r="C13" s="484">
        <v>0</v>
      </c>
      <c r="D13" s="485">
        <v>0</v>
      </c>
      <c r="E13" s="485">
        <v>0</v>
      </c>
      <c r="F13" s="486">
        <v>0</v>
      </c>
      <c r="G13" s="484">
        <v>0</v>
      </c>
      <c r="H13" s="485">
        <v>3</v>
      </c>
      <c r="I13" s="485">
        <v>0</v>
      </c>
      <c r="J13" s="486">
        <v>0</v>
      </c>
      <c r="K13" s="484">
        <v>0</v>
      </c>
      <c r="L13" s="485">
        <v>1</v>
      </c>
      <c r="M13" s="485">
        <v>1</v>
      </c>
      <c r="N13" s="486">
        <v>3</v>
      </c>
      <c r="O13" s="484">
        <v>3</v>
      </c>
      <c r="P13" s="485">
        <v>1</v>
      </c>
      <c r="Q13" s="485">
        <v>0</v>
      </c>
      <c r="R13" s="486">
        <v>0</v>
      </c>
      <c r="S13" s="484">
        <v>0</v>
      </c>
      <c r="T13" s="485">
        <v>0</v>
      </c>
      <c r="U13" s="485">
        <v>0</v>
      </c>
      <c r="V13" s="486">
        <v>0</v>
      </c>
      <c r="W13" s="487">
        <f t="shared" si="1"/>
        <v>12.000299999999999</v>
      </c>
      <c r="X13" s="487">
        <f t="shared" si="0"/>
        <v>10</v>
      </c>
      <c r="Y13" s="527"/>
      <c r="Z13" s="527"/>
      <c r="AA13" s="527"/>
      <c r="AB13" s="527"/>
      <c r="AD13" s="426">
        <f t="shared" ca="1" si="2"/>
        <v>212</v>
      </c>
      <c r="AE13" s="543" t="str">
        <f t="shared" si="3"/>
        <v>Oleg Rõndenkov</v>
      </c>
      <c r="AF13" s="544">
        <f ca="1">IFERROR(INDEX(Reit!$I:$I,MATCH(AE13,Reit!$F:$F,0)),"")</f>
        <v>212</v>
      </c>
    </row>
    <row r="14" spans="1:32" x14ac:dyDescent="0.2">
      <c r="A14" s="482">
        <v>6</v>
      </c>
      <c r="B14" s="483" t="s">
        <v>118</v>
      </c>
      <c r="C14" s="484">
        <v>0</v>
      </c>
      <c r="D14" s="485">
        <v>5</v>
      </c>
      <c r="E14" s="485">
        <v>0</v>
      </c>
      <c r="F14" s="486">
        <v>0</v>
      </c>
      <c r="G14" s="484">
        <v>3</v>
      </c>
      <c r="H14" s="485">
        <v>0</v>
      </c>
      <c r="I14" s="485">
        <v>0</v>
      </c>
      <c r="J14" s="486">
        <v>0</v>
      </c>
      <c r="K14" s="484">
        <v>1</v>
      </c>
      <c r="L14" s="485">
        <v>0</v>
      </c>
      <c r="M14" s="485">
        <v>3</v>
      </c>
      <c r="N14" s="486">
        <v>0</v>
      </c>
      <c r="O14" s="484">
        <v>1</v>
      </c>
      <c r="P14" s="485">
        <v>0</v>
      </c>
      <c r="Q14" s="485">
        <v>0</v>
      </c>
      <c r="R14" s="486">
        <v>0</v>
      </c>
      <c r="S14" s="484">
        <v>5</v>
      </c>
      <c r="T14" s="485">
        <v>0</v>
      </c>
      <c r="U14" s="485">
        <v>0</v>
      </c>
      <c r="V14" s="486">
        <v>0</v>
      </c>
      <c r="W14" s="487">
        <f t="shared" si="1"/>
        <v>18.020199999999999</v>
      </c>
      <c r="X14" s="487" t="str">
        <f t="shared" si="0"/>
        <v>edasi 3</v>
      </c>
      <c r="Y14" s="527"/>
      <c r="Z14" s="527"/>
      <c r="AA14" s="527"/>
      <c r="AB14" s="527"/>
      <c r="AD14" s="426">
        <f t="shared" ca="1" si="2"/>
        <v>206</v>
      </c>
      <c r="AE14" s="543" t="str">
        <f t="shared" si="3"/>
        <v>Svetlana Veski</v>
      </c>
      <c r="AF14" s="544">
        <f ca="1">IFERROR(INDEX(Reit!$I:$I,MATCH(AE14,Reit!$F:$F,0)),"")</f>
        <v>206</v>
      </c>
    </row>
    <row r="15" spans="1:32" x14ac:dyDescent="0.2">
      <c r="A15" s="488">
        <v>7</v>
      </c>
      <c r="B15" s="494" t="s">
        <v>112</v>
      </c>
      <c r="C15" s="490">
        <v>0</v>
      </c>
      <c r="D15" s="491">
        <v>0</v>
      </c>
      <c r="E15" s="491">
        <v>0</v>
      </c>
      <c r="F15" s="492">
        <v>3</v>
      </c>
      <c r="G15" s="490">
        <v>5</v>
      </c>
      <c r="H15" s="491">
        <v>0</v>
      </c>
      <c r="I15" s="491">
        <v>0</v>
      </c>
      <c r="J15" s="492">
        <v>0</v>
      </c>
      <c r="K15" s="490">
        <v>0</v>
      </c>
      <c r="L15" s="491">
        <v>0</v>
      </c>
      <c r="M15" s="491">
        <v>0</v>
      </c>
      <c r="N15" s="492">
        <v>0</v>
      </c>
      <c r="O15" s="490">
        <v>3</v>
      </c>
      <c r="P15" s="491">
        <v>0</v>
      </c>
      <c r="Q15" s="491">
        <v>3</v>
      </c>
      <c r="R15" s="492">
        <v>1</v>
      </c>
      <c r="S15" s="490">
        <v>5</v>
      </c>
      <c r="T15" s="491">
        <v>0</v>
      </c>
      <c r="U15" s="491">
        <v>0</v>
      </c>
      <c r="V15" s="492">
        <v>0</v>
      </c>
      <c r="W15" s="493">
        <f t="shared" si="1"/>
        <v>20.020299999999999</v>
      </c>
      <c r="X15" s="493" t="str">
        <f t="shared" si="0"/>
        <v>edasi 2</v>
      </c>
      <c r="Y15" s="527"/>
      <c r="Z15" s="527"/>
      <c r="AA15" s="527"/>
      <c r="AB15" s="527"/>
      <c r="AD15" s="426">
        <f t="shared" ca="1" si="2"/>
        <v>197</v>
      </c>
      <c r="AE15" s="543" t="str">
        <f t="shared" si="3"/>
        <v>Andres Veski</v>
      </c>
      <c r="AF15" s="544">
        <f ca="1">IFERROR(INDEX(Reit!$I:$I,MATCH(AE15,Reit!$F:$F,0)),"")</f>
        <v>197</v>
      </c>
    </row>
    <row r="16" spans="1:32" x14ac:dyDescent="0.2">
      <c r="A16" s="488">
        <v>8</v>
      </c>
      <c r="B16" s="496" t="s">
        <v>12</v>
      </c>
      <c r="C16" s="490">
        <v>3</v>
      </c>
      <c r="D16" s="491">
        <v>0</v>
      </c>
      <c r="E16" s="491">
        <v>1</v>
      </c>
      <c r="F16" s="492">
        <v>1</v>
      </c>
      <c r="G16" s="490">
        <v>0</v>
      </c>
      <c r="H16" s="491">
        <v>5</v>
      </c>
      <c r="I16" s="491">
        <v>0</v>
      </c>
      <c r="J16" s="492">
        <v>0</v>
      </c>
      <c r="K16" s="490">
        <v>0</v>
      </c>
      <c r="L16" s="491">
        <v>1</v>
      </c>
      <c r="M16" s="491">
        <v>0</v>
      </c>
      <c r="N16" s="492">
        <v>0</v>
      </c>
      <c r="O16" s="490">
        <v>1</v>
      </c>
      <c r="P16" s="491">
        <v>0</v>
      </c>
      <c r="Q16" s="491">
        <v>1</v>
      </c>
      <c r="R16" s="492">
        <v>0</v>
      </c>
      <c r="S16" s="490">
        <v>5</v>
      </c>
      <c r="T16" s="491">
        <v>0</v>
      </c>
      <c r="U16" s="491">
        <v>0</v>
      </c>
      <c r="V16" s="492">
        <v>0</v>
      </c>
      <c r="W16" s="493">
        <f t="shared" si="1"/>
        <v>18.020099999999999</v>
      </c>
      <c r="X16" s="493" t="str">
        <f t="shared" si="0"/>
        <v>edasi 4</v>
      </c>
      <c r="Y16" s="527"/>
      <c r="Z16" s="527"/>
      <c r="AA16" s="527"/>
      <c r="AB16" s="527"/>
      <c r="AD16" s="426">
        <f t="shared" ca="1" si="2"/>
        <v>272</v>
      </c>
      <c r="AE16" s="543" t="str">
        <f t="shared" si="3"/>
        <v>Ivar Viljaste</v>
      </c>
      <c r="AF16" s="544">
        <f ca="1">IFERROR(INDEX(Reit!$I:$I,MATCH(AE16,Reit!$F:$F,0)),"")</f>
        <v>272</v>
      </c>
    </row>
    <row r="17" spans="1:32" x14ac:dyDescent="0.2">
      <c r="A17" s="482">
        <v>9</v>
      </c>
      <c r="B17" s="495" t="s">
        <v>124</v>
      </c>
      <c r="C17" s="484">
        <v>3</v>
      </c>
      <c r="D17" s="485">
        <v>3</v>
      </c>
      <c r="E17" s="485">
        <v>0</v>
      </c>
      <c r="F17" s="486">
        <v>1</v>
      </c>
      <c r="G17" s="484">
        <v>3</v>
      </c>
      <c r="H17" s="485">
        <v>0</v>
      </c>
      <c r="I17" s="485">
        <v>3</v>
      </c>
      <c r="J17" s="486">
        <v>0</v>
      </c>
      <c r="K17" s="484">
        <v>0</v>
      </c>
      <c r="L17" s="485">
        <v>1</v>
      </c>
      <c r="M17" s="485">
        <v>0</v>
      </c>
      <c r="N17" s="486">
        <v>0</v>
      </c>
      <c r="O17" s="484">
        <v>0</v>
      </c>
      <c r="P17" s="485">
        <v>0</v>
      </c>
      <c r="Q17" s="485">
        <v>0</v>
      </c>
      <c r="R17" s="486">
        <v>3</v>
      </c>
      <c r="S17" s="484">
        <v>0</v>
      </c>
      <c r="T17" s="485">
        <v>0</v>
      </c>
      <c r="U17" s="485">
        <v>0</v>
      </c>
      <c r="V17" s="486">
        <v>0</v>
      </c>
      <c r="W17" s="980">
        <v>18</v>
      </c>
      <c r="X17" s="487" t="str">
        <f t="shared" si="0"/>
        <v>edasi 5</v>
      </c>
      <c r="Y17" s="527"/>
      <c r="Z17" s="527"/>
      <c r="AA17" s="527"/>
      <c r="AB17" s="527"/>
      <c r="AD17" s="426">
        <f t="shared" ca="1" si="2"/>
        <v>286</v>
      </c>
      <c r="AE17" s="543" t="str">
        <f t="shared" si="3"/>
        <v>Henri Mitt</v>
      </c>
      <c r="AF17" s="544">
        <f ca="1">IFERROR(INDEX(Reit!$I:$I,MATCH(AE17,Reit!$F:$F,0)),"")</f>
        <v>286</v>
      </c>
    </row>
    <row r="18" spans="1:32" x14ac:dyDescent="0.2">
      <c r="A18" s="482">
        <v>10</v>
      </c>
      <c r="B18" s="483" t="s">
        <v>105</v>
      </c>
      <c r="C18" s="484">
        <v>3</v>
      </c>
      <c r="D18" s="485">
        <v>0</v>
      </c>
      <c r="E18" s="485">
        <v>3</v>
      </c>
      <c r="F18" s="486">
        <v>0</v>
      </c>
      <c r="G18" s="484">
        <v>5</v>
      </c>
      <c r="H18" s="485">
        <v>3</v>
      </c>
      <c r="I18" s="485">
        <v>0</v>
      </c>
      <c r="J18" s="486">
        <v>1</v>
      </c>
      <c r="K18" s="484">
        <v>0</v>
      </c>
      <c r="L18" s="485">
        <v>0</v>
      </c>
      <c r="M18" s="485">
        <v>0</v>
      </c>
      <c r="N18" s="486">
        <v>5</v>
      </c>
      <c r="O18" s="484">
        <v>3</v>
      </c>
      <c r="P18" s="485">
        <v>0</v>
      </c>
      <c r="Q18" s="485">
        <v>0</v>
      </c>
      <c r="R18" s="486">
        <v>0</v>
      </c>
      <c r="S18" s="484">
        <v>0</v>
      </c>
      <c r="T18" s="485">
        <v>0</v>
      </c>
      <c r="U18" s="485">
        <v>0</v>
      </c>
      <c r="V18" s="486">
        <v>0</v>
      </c>
      <c r="W18" s="487">
        <f t="shared" si="1"/>
        <v>23.020399999999999</v>
      </c>
      <c r="X18" s="487" t="str">
        <f t="shared" si="0"/>
        <v>edasi 1</v>
      </c>
      <c r="Y18" s="527"/>
      <c r="Z18" s="527"/>
      <c r="AA18" s="527"/>
      <c r="AB18" s="527"/>
      <c r="AD18" s="426">
        <f t="shared" ca="1" si="2"/>
        <v>292</v>
      </c>
      <c r="AE18" s="543" t="str">
        <f t="shared" si="3"/>
        <v>Oskar Sepp</v>
      </c>
      <c r="AF18" s="544">
        <f ca="1">IFERROR(INDEX(Reit!$I:$I,MATCH(AE18,Reit!$F:$F,0)),"")</f>
        <v>292</v>
      </c>
    </row>
    <row r="19" spans="1:32" ht="13.5" thickBot="1" x14ac:dyDescent="0.25">
      <c r="A19" s="488">
        <v>11</v>
      </c>
      <c r="B19" s="497" t="s">
        <v>106</v>
      </c>
      <c r="C19" s="490">
        <v>3</v>
      </c>
      <c r="D19" s="491">
        <v>5</v>
      </c>
      <c r="E19" s="491">
        <v>0</v>
      </c>
      <c r="F19" s="492">
        <v>0</v>
      </c>
      <c r="G19" s="490">
        <v>0</v>
      </c>
      <c r="H19" s="491">
        <v>0</v>
      </c>
      <c r="I19" s="491">
        <v>3</v>
      </c>
      <c r="J19" s="492">
        <v>0</v>
      </c>
      <c r="K19" s="490">
        <v>0</v>
      </c>
      <c r="L19" s="491">
        <v>0</v>
      </c>
      <c r="M19" s="491">
        <v>0</v>
      </c>
      <c r="N19" s="492">
        <v>0</v>
      </c>
      <c r="O19" s="490">
        <v>3</v>
      </c>
      <c r="P19" s="491">
        <v>0</v>
      </c>
      <c r="Q19" s="491">
        <v>0</v>
      </c>
      <c r="R19" s="492">
        <v>0</v>
      </c>
      <c r="S19" s="490">
        <v>0</v>
      </c>
      <c r="T19" s="491">
        <v>0</v>
      </c>
      <c r="U19" s="491">
        <v>0</v>
      </c>
      <c r="V19" s="492">
        <v>0</v>
      </c>
      <c r="W19" s="493">
        <f t="shared" si="1"/>
        <v>14.010299999999999</v>
      </c>
      <c r="X19" s="493" t="str">
        <f t="shared" si="0"/>
        <v>edasi 8</v>
      </c>
      <c r="Y19" s="527"/>
      <c r="Z19" s="527"/>
      <c r="AA19" s="527"/>
      <c r="AB19" s="527"/>
      <c r="AD19" s="426">
        <f t="shared" ca="1" si="2"/>
        <v>248</v>
      </c>
      <c r="AE19" s="543" t="str">
        <f t="shared" si="3"/>
        <v>Jaan Sepp</v>
      </c>
      <c r="AF19" s="544">
        <f ca="1">IFERROR(INDEX(Reit!$I:$I,MATCH(AE19,Reit!$F:$F,0)),"")</f>
        <v>248</v>
      </c>
    </row>
    <row r="20" spans="1:32" x14ac:dyDescent="0.2">
      <c r="A20" s="499"/>
      <c r="B20" s="477" t="s">
        <v>283</v>
      </c>
      <c r="C20" s="478"/>
      <c r="D20" s="479"/>
      <c r="E20" s="479"/>
      <c r="F20" s="480"/>
      <c r="G20" s="478"/>
      <c r="H20" s="479"/>
      <c r="I20" s="479"/>
      <c r="J20" s="480"/>
      <c r="K20" s="478"/>
      <c r="L20" s="479"/>
      <c r="M20" s="479"/>
      <c r="N20" s="480"/>
      <c r="O20" s="478"/>
      <c r="P20" s="479"/>
      <c r="Q20" s="479"/>
      <c r="R20" s="480"/>
      <c r="S20" s="478"/>
      <c r="T20" s="479"/>
      <c r="U20" s="479"/>
      <c r="V20" s="480"/>
      <c r="W20" s="481"/>
      <c r="X20" s="481"/>
      <c r="Y20" s="546">
        <f>IF(COUNTA(C21:V21)=0,100,W21+IF(RANK(W21,$W$21:$W$22)=1,100,0))</f>
        <v>21</v>
      </c>
      <c r="Z20" s="545">
        <f>MIN(W21:W22)</f>
        <v>21</v>
      </c>
      <c r="AA20" s="545">
        <f>MAX(W21:W22)</f>
        <v>36</v>
      </c>
      <c r="AB20" s="527"/>
      <c r="AC20" s="527"/>
      <c r="AD20" s="527"/>
    </row>
    <row r="21" spans="1:32" x14ac:dyDescent="0.2">
      <c r="A21" s="500">
        <v>4</v>
      </c>
      <c r="B21" s="501" t="str">
        <f t="shared" ref="B21:B28" si="4">IFERROR(INDEX(B$9:B$19,MATCH("edasi "&amp;A21,X$9:X$19,0)),"")</f>
        <v>Ivar Viljaste</v>
      </c>
      <c r="C21" s="502">
        <v>0</v>
      </c>
      <c r="D21" s="503">
        <v>0</v>
      </c>
      <c r="E21" s="503">
        <v>0</v>
      </c>
      <c r="F21" s="504">
        <v>0</v>
      </c>
      <c r="G21" s="502">
        <v>0</v>
      </c>
      <c r="H21" s="503">
        <v>3</v>
      </c>
      <c r="I21" s="503">
        <v>0</v>
      </c>
      <c r="J21" s="504">
        <v>3</v>
      </c>
      <c r="K21" s="502">
        <v>0</v>
      </c>
      <c r="L21" s="503">
        <v>3</v>
      </c>
      <c r="M21" s="503">
        <v>1</v>
      </c>
      <c r="N21" s="504">
        <v>0</v>
      </c>
      <c r="O21" s="502">
        <v>0</v>
      </c>
      <c r="P21" s="503">
        <v>3</v>
      </c>
      <c r="Q21" s="503">
        <v>0</v>
      </c>
      <c r="R21" s="504">
        <v>3</v>
      </c>
      <c r="S21" s="502">
        <v>0</v>
      </c>
      <c r="T21" s="503">
        <v>0</v>
      </c>
      <c r="U21" s="503">
        <v>5</v>
      </c>
      <c r="V21" s="504">
        <v>0</v>
      </c>
      <c r="W21" s="487">
        <f t="shared" ref="W21:W28" si="5">SUM(C21:V21)</f>
        <v>21</v>
      </c>
      <c r="X21" s="505">
        <f>IF(ISBLANK(C21),"",IF(RANK(Y20,$Y$20:$Y$21)&lt;2,"edasi "&amp;RANK(W21,$AA$20:$AA$27),RANK(W21,$Z$20:$Z$27)+4))</f>
        <v>5</v>
      </c>
      <c r="Y21" s="547">
        <f>IF(COUNTA(C22:V22)=0,0,W22+IF(RANK(W22,$W$21:$W$22)=1,100,0))</f>
        <v>136</v>
      </c>
      <c r="Z21" s="545"/>
      <c r="AA21" s="545"/>
      <c r="AB21" s="527"/>
      <c r="AC21" s="527"/>
      <c r="AD21" s="527"/>
    </row>
    <row r="22" spans="1:32" x14ac:dyDescent="0.2">
      <c r="A22" s="500">
        <v>5</v>
      </c>
      <c r="B22" s="501" t="str">
        <f t="shared" si="4"/>
        <v>Henri Mitt</v>
      </c>
      <c r="C22" s="502">
        <v>5</v>
      </c>
      <c r="D22" s="503">
        <v>3</v>
      </c>
      <c r="E22" s="503">
        <v>3</v>
      </c>
      <c r="F22" s="504">
        <v>0</v>
      </c>
      <c r="G22" s="502">
        <v>1</v>
      </c>
      <c r="H22" s="503">
        <v>3</v>
      </c>
      <c r="I22" s="503">
        <v>1</v>
      </c>
      <c r="J22" s="504">
        <v>0</v>
      </c>
      <c r="K22" s="502">
        <v>3</v>
      </c>
      <c r="L22" s="503">
        <v>1</v>
      </c>
      <c r="M22" s="503">
        <v>0</v>
      </c>
      <c r="N22" s="504">
        <v>3</v>
      </c>
      <c r="O22" s="502">
        <v>0</v>
      </c>
      <c r="P22" s="503">
        <v>3</v>
      </c>
      <c r="Q22" s="503">
        <v>0</v>
      </c>
      <c r="R22" s="504">
        <v>0</v>
      </c>
      <c r="S22" s="502">
        <v>5</v>
      </c>
      <c r="T22" s="503">
        <v>0</v>
      </c>
      <c r="U22" s="503">
        <v>5</v>
      </c>
      <c r="V22" s="504">
        <v>0</v>
      </c>
      <c r="W22" s="487">
        <f t="shared" si="5"/>
        <v>36</v>
      </c>
      <c r="X22" s="505" t="str">
        <f>IF(ISBLANK(C22),"",IF(RANK(Y21,$Y$20:$Y$21)&lt;2,"edasi "&amp;RANK(W22,$AA$20:$AA$27),RANK(W22,$Z$20:$Z$27)+4))</f>
        <v>edasi 1</v>
      </c>
      <c r="Y22" s="546">
        <f>IF(COUNTA(C23:V23)=0,100,W23+IF(RANK(W23,$W$23:$W$24)=1,100,0))</f>
        <v>13</v>
      </c>
      <c r="Z22" s="545">
        <f>MIN(W23:W24)</f>
        <v>13</v>
      </c>
      <c r="AA22" s="545">
        <f>MAX(W23:W24)</f>
        <v>17</v>
      </c>
      <c r="AB22" s="527"/>
      <c r="AC22" s="527"/>
      <c r="AD22" s="527"/>
    </row>
    <row r="23" spans="1:32" x14ac:dyDescent="0.2">
      <c r="A23" s="506">
        <v>3</v>
      </c>
      <c r="B23" s="507" t="str">
        <f t="shared" si="4"/>
        <v>Svetlana Veski</v>
      </c>
      <c r="C23" s="508">
        <v>0</v>
      </c>
      <c r="D23" s="509">
        <v>0</v>
      </c>
      <c r="E23" s="509">
        <v>3</v>
      </c>
      <c r="F23" s="510">
        <v>1</v>
      </c>
      <c r="G23" s="508">
        <v>0</v>
      </c>
      <c r="H23" s="509">
        <v>0</v>
      </c>
      <c r="I23" s="509">
        <v>0</v>
      </c>
      <c r="J23" s="510">
        <v>0</v>
      </c>
      <c r="K23" s="508">
        <v>1</v>
      </c>
      <c r="L23" s="509">
        <v>3</v>
      </c>
      <c r="M23" s="509">
        <v>0</v>
      </c>
      <c r="N23" s="510">
        <v>0</v>
      </c>
      <c r="O23" s="508">
        <v>0</v>
      </c>
      <c r="P23" s="509">
        <v>0</v>
      </c>
      <c r="Q23" s="509">
        <v>0</v>
      </c>
      <c r="R23" s="510">
        <v>0</v>
      </c>
      <c r="S23" s="508">
        <v>0</v>
      </c>
      <c r="T23" s="509">
        <v>0</v>
      </c>
      <c r="U23" s="509">
        <v>0</v>
      </c>
      <c r="V23" s="510">
        <v>5</v>
      </c>
      <c r="W23" s="493">
        <f t="shared" si="5"/>
        <v>13</v>
      </c>
      <c r="X23" s="511">
        <f>IF(ISBLANK(C23),"",IF(RANK(Y22,$Y$22:$Y$23)&lt;2,"edasi "&amp;RANK(W23,$AA$20:$AA$27),RANK(W23,$Z$20:$Z$27)+4))</f>
        <v>6</v>
      </c>
      <c r="Y23" s="547">
        <f>IF(COUNTA(C24:V24)=0,0,W24+IF(RANK(W24,$W$23:$W$24)=1,100,0))</f>
        <v>117</v>
      </c>
      <c r="Z23" s="545"/>
      <c r="AA23" s="545"/>
      <c r="AB23" s="527"/>
      <c r="AC23" s="527"/>
      <c r="AD23" s="527"/>
    </row>
    <row r="24" spans="1:32" x14ac:dyDescent="0.2">
      <c r="A24" s="506">
        <v>6</v>
      </c>
      <c r="B24" s="507" t="str">
        <f t="shared" si="4"/>
        <v>Urmas Jõeäär</v>
      </c>
      <c r="C24" s="508">
        <v>3</v>
      </c>
      <c r="D24" s="509">
        <v>3</v>
      </c>
      <c r="E24" s="509">
        <v>5</v>
      </c>
      <c r="F24" s="510">
        <v>3</v>
      </c>
      <c r="G24" s="508">
        <v>0</v>
      </c>
      <c r="H24" s="509">
        <v>0</v>
      </c>
      <c r="I24" s="509">
        <v>0</v>
      </c>
      <c r="J24" s="510">
        <v>0</v>
      </c>
      <c r="K24" s="508">
        <v>3</v>
      </c>
      <c r="L24" s="509">
        <v>0</v>
      </c>
      <c r="M24" s="509">
        <v>0</v>
      </c>
      <c r="N24" s="510">
        <v>0</v>
      </c>
      <c r="O24" s="508">
        <v>0</v>
      </c>
      <c r="P24" s="509">
        <v>0</v>
      </c>
      <c r="Q24" s="509">
        <v>0</v>
      </c>
      <c r="R24" s="510">
        <v>0</v>
      </c>
      <c r="S24" s="508">
        <v>0</v>
      </c>
      <c r="T24" s="509">
        <v>0</v>
      </c>
      <c r="U24" s="509">
        <v>0</v>
      </c>
      <c r="V24" s="510">
        <v>0</v>
      </c>
      <c r="W24" s="493">
        <f t="shared" si="5"/>
        <v>17</v>
      </c>
      <c r="X24" s="511" t="str">
        <f>IF(ISBLANK(C24),"",IF(RANK(Y23,$Y$22:$Y$23)&lt;2,"edasi "&amp;RANK(W24,$AA$20:$AA$27),RANK(W24,$Z$20:$Z$27)+4))</f>
        <v>edasi 3</v>
      </c>
      <c r="Y24" s="546">
        <f>IF(COUNTA(C25:V25)=0,100,W25+IF(RANK(W25,$W$25:$W$26)=1,100,0))</f>
        <v>1</v>
      </c>
      <c r="Z24" s="545">
        <f>MIN(W25:W26)</f>
        <v>1</v>
      </c>
      <c r="AA24" s="545">
        <f>MAX(W25:W26)</f>
        <v>15</v>
      </c>
      <c r="AB24" s="527"/>
      <c r="AC24" s="527"/>
      <c r="AD24" s="527"/>
    </row>
    <row r="25" spans="1:32" x14ac:dyDescent="0.2">
      <c r="A25" s="500">
        <v>2</v>
      </c>
      <c r="B25" s="501" t="str">
        <f t="shared" si="4"/>
        <v>Andres Veski</v>
      </c>
      <c r="C25" s="502">
        <v>0</v>
      </c>
      <c r="D25" s="503">
        <v>0</v>
      </c>
      <c r="E25" s="503">
        <v>0</v>
      </c>
      <c r="F25" s="504">
        <v>0</v>
      </c>
      <c r="G25" s="502">
        <v>0</v>
      </c>
      <c r="H25" s="503">
        <v>0</v>
      </c>
      <c r="I25" s="503">
        <v>0</v>
      </c>
      <c r="J25" s="504">
        <v>0</v>
      </c>
      <c r="K25" s="502">
        <v>1</v>
      </c>
      <c r="L25" s="503">
        <v>0</v>
      </c>
      <c r="M25" s="503">
        <v>0</v>
      </c>
      <c r="N25" s="504">
        <v>0</v>
      </c>
      <c r="O25" s="502">
        <v>0</v>
      </c>
      <c r="P25" s="503">
        <v>0</v>
      </c>
      <c r="Q25" s="503">
        <v>0</v>
      </c>
      <c r="R25" s="504">
        <v>0</v>
      </c>
      <c r="S25" s="502">
        <v>0</v>
      </c>
      <c r="T25" s="503">
        <v>0</v>
      </c>
      <c r="U25" s="503">
        <v>0</v>
      </c>
      <c r="V25" s="504">
        <v>0</v>
      </c>
      <c r="W25" s="487">
        <f t="shared" si="5"/>
        <v>1</v>
      </c>
      <c r="X25" s="505">
        <f>IF(ISBLANK(C25),"",IF(RANK(Y24,$Y$24:$Y$25)&lt;2,"edasi "&amp;RANK(W25,$AA$20:$AA$27),RANK(W25,$Z$20:$Z$27)+4))</f>
        <v>8</v>
      </c>
      <c r="Y25" s="547">
        <f>IF(COUNTA(C26:V26)=0,0,W26+IF(RANK(W26,$W$25:$W$26)=1,100,0))</f>
        <v>115</v>
      </c>
      <c r="Z25" s="545"/>
      <c r="AA25" s="545"/>
      <c r="AB25" s="527"/>
      <c r="AC25" s="527"/>
      <c r="AD25" s="527"/>
    </row>
    <row r="26" spans="1:32" x14ac:dyDescent="0.2">
      <c r="A26" s="500">
        <v>7</v>
      </c>
      <c r="B26" s="501" t="str">
        <f t="shared" si="4"/>
        <v>Olav Türk</v>
      </c>
      <c r="C26" s="502">
        <v>3</v>
      </c>
      <c r="D26" s="503">
        <v>0</v>
      </c>
      <c r="E26" s="503">
        <v>0</v>
      </c>
      <c r="F26" s="504">
        <v>3</v>
      </c>
      <c r="G26" s="502">
        <v>0</v>
      </c>
      <c r="H26" s="503">
        <v>0</v>
      </c>
      <c r="I26" s="503">
        <v>0</v>
      </c>
      <c r="J26" s="504">
        <v>3</v>
      </c>
      <c r="K26" s="502">
        <v>0</v>
      </c>
      <c r="L26" s="503">
        <v>3</v>
      </c>
      <c r="M26" s="503">
        <v>0</v>
      </c>
      <c r="N26" s="504">
        <v>0</v>
      </c>
      <c r="O26" s="502">
        <v>3</v>
      </c>
      <c r="P26" s="503">
        <v>0</v>
      </c>
      <c r="Q26" s="503">
        <v>0</v>
      </c>
      <c r="R26" s="504">
        <v>0</v>
      </c>
      <c r="S26" s="502">
        <v>0</v>
      </c>
      <c r="T26" s="503">
        <v>0</v>
      </c>
      <c r="U26" s="503">
        <v>0</v>
      </c>
      <c r="V26" s="504">
        <v>0</v>
      </c>
      <c r="W26" s="487">
        <f t="shared" si="5"/>
        <v>15</v>
      </c>
      <c r="X26" s="505" t="str">
        <f>IF(ISBLANK(C26),"",IF(RANK(Y25,$Y$24:$Y$25)&lt;2,"edasi "&amp;RANK(W26,$AA$20:$AA$27),RANK(W26,$Z$20:$Z$27)+4))</f>
        <v>edasi 4</v>
      </c>
      <c r="Y26" s="546">
        <f>IF(COUNTA(C27:V27)=0,100,W27+IF(RANK(W27,$W$27:$W$28)=1,100,0))</f>
        <v>123</v>
      </c>
      <c r="Z26" s="545">
        <f>MIN(W27:W28)</f>
        <v>7</v>
      </c>
      <c r="AA26" s="545">
        <f>MAX(W27:W28)</f>
        <v>23</v>
      </c>
      <c r="AB26" s="527"/>
      <c r="AC26" s="527"/>
      <c r="AD26" s="527"/>
    </row>
    <row r="27" spans="1:32" x14ac:dyDescent="0.2">
      <c r="A27" s="506">
        <v>1</v>
      </c>
      <c r="B27" s="507" t="str">
        <f t="shared" si="4"/>
        <v>Oskar Sepp</v>
      </c>
      <c r="C27" s="508">
        <v>0</v>
      </c>
      <c r="D27" s="509">
        <v>5</v>
      </c>
      <c r="E27" s="509">
        <v>5</v>
      </c>
      <c r="F27" s="510">
        <v>0</v>
      </c>
      <c r="G27" s="508">
        <v>0</v>
      </c>
      <c r="H27" s="509">
        <v>0</v>
      </c>
      <c r="I27" s="509">
        <v>3</v>
      </c>
      <c r="J27" s="510">
        <v>0</v>
      </c>
      <c r="K27" s="508">
        <v>0</v>
      </c>
      <c r="L27" s="509">
        <v>0</v>
      </c>
      <c r="M27" s="509">
        <v>0</v>
      </c>
      <c r="N27" s="510">
        <v>0</v>
      </c>
      <c r="O27" s="508">
        <v>5</v>
      </c>
      <c r="P27" s="509">
        <v>0</v>
      </c>
      <c r="Q27" s="509">
        <v>0</v>
      </c>
      <c r="R27" s="510">
        <v>0</v>
      </c>
      <c r="S27" s="508">
        <v>5</v>
      </c>
      <c r="T27" s="509">
        <v>0</v>
      </c>
      <c r="U27" s="509">
        <v>0</v>
      </c>
      <c r="V27" s="510">
        <v>0</v>
      </c>
      <c r="W27" s="493">
        <f t="shared" si="5"/>
        <v>23</v>
      </c>
      <c r="X27" s="511" t="str">
        <f>IF(ISBLANK(C27),"",IF(RANK(Y26,$Y$26:$Y$27)&lt;2,"edasi "&amp;RANK(W27,$AA$20:$AA$27),RANK(W27,$Z$20:$Z$27)+4))</f>
        <v>edasi 2</v>
      </c>
      <c r="Y27" s="547">
        <f>IF(COUNTA(C28:V28)=0,0,W28+IF(RANK(W28,$W$27:$W$28)=1,100,0))</f>
        <v>7</v>
      </c>
      <c r="Z27" s="545"/>
      <c r="AA27" s="545"/>
      <c r="AB27" s="527"/>
      <c r="AC27" s="527"/>
      <c r="AD27" s="527"/>
    </row>
    <row r="28" spans="1:32" ht="13.5" thickBot="1" x14ac:dyDescent="0.25">
      <c r="A28" s="512">
        <v>8</v>
      </c>
      <c r="B28" s="507" t="str">
        <f t="shared" si="4"/>
        <v>Jaan Sepp</v>
      </c>
      <c r="C28" s="513">
        <v>0</v>
      </c>
      <c r="D28" s="514">
        <v>3</v>
      </c>
      <c r="E28" s="514">
        <v>0</v>
      </c>
      <c r="F28" s="515">
        <v>0</v>
      </c>
      <c r="G28" s="513">
        <v>0</v>
      </c>
      <c r="H28" s="514">
        <v>0</v>
      </c>
      <c r="I28" s="514">
        <v>0</v>
      </c>
      <c r="J28" s="515">
        <v>0</v>
      </c>
      <c r="K28" s="513">
        <v>0</v>
      </c>
      <c r="L28" s="514">
        <v>0</v>
      </c>
      <c r="M28" s="514">
        <v>3</v>
      </c>
      <c r="N28" s="515">
        <v>0</v>
      </c>
      <c r="O28" s="513">
        <v>0</v>
      </c>
      <c r="P28" s="514">
        <v>0</v>
      </c>
      <c r="Q28" s="514">
        <v>1</v>
      </c>
      <c r="R28" s="515">
        <v>0</v>
      </c>
      <c r="S28" s="513">
        <v>0</v>
      </c>
      <c r="T28" s="514">
        <v>0</v>
      </c>
      <c r="U28" s="514">
        <v>0</v>
      </c>
      <c r="V28" s="515">
        <v>0</v>
      </c>
      <c r="W28" s="498">
        <f t="shared" si="5"/>
        <v>7</v>
      </c>
      <c r="X28" s="516">
        <f>IF(ISBLANK(C28),"",IF(RANK(Y27,$Y$26:$Y$27)&lt;2,"edasi "&amp;RANK(W28,$AA$20:$AA$27),RANK(W28,$Z$20:$Z$27)+4))</f>
        <v>7</v>
      </c>
    </row>
    <row r="29" spans="1:32" x14ac:dyDescent="0.2">
      <c r="A29" s="499"/>
      <c r="B29" s="477" t="s">
        <v>284</v>
      </c>
      <c r="C29" s="478"/>
      <c r="D29" s="479"/>
      <c r="E29" s="479"/>
      <c r="F29" s="480"/>
      <c r="G29" s="478"/>
      <c r="H29" s="479"/>
      <c r="I29" s="479"/>
      <c r="J29" s="480"/>
      <c r="K29" s="478"/>
      <c r="L29" s="479"/>
      <c r="M29" s="479"/>
      <c r="N29" s="480"/>
      <c r="O29" s="478"/>
      <c r="P29" s="479"/>
      <c r="Q29" s="479"/>
      <c r="R29" s="480"/>
      <c r="S29" s="478"/>
      <c r="T29" s="479"/>
      <c r="U29" s="479"/>
      <c r="V29" s="480"/>
      <c r="W29" s="481"/>
      <c r="X29" s="481"/>
    </row>
    <row r="30" spans="1:32" x14ac:dyDescent="0.2">
      <c r="A30" s="500">
        <v>2</v>
      </c>
      <c r="B30" s="501" t="str">
        <f>IFERROR(INDEX(B$21:B$28,MATCH("edasi "&amp;A30,X$21:X$28,0)),"")</f>
        <v>Oskar Sepp</v>
      </c>
      <c r="C30" s="502">
        <v>0</v>
      </c>
      <c r="D30" s="503">
        <v>3</v>
      </c>
      <c r="E30" s="503">
        <v>3</v>
      </c>
      <c r="F30" s="504">
        <v>0</v>
      </c>
      <c r="G30" s="502">
        <v>3</v>
      </c>
      <c r="H30" s="503">
        <v>3</v>
      </c>
      <c r="I30" s="503">
        <v>3</v>
      </c>
      <c r="J30" s="504">
        <v>0</v>
      </c>
      <c r="K30" s="502">
        <v>0</v>
      </c>
      <c r="L30" s="503">
        <v>0</v>
      </c>
      <c r="M30" s="503">
        <v>0</v>
      </c>
      <c r="N30" s="504">
        <v>0</v>
      </c>
      <c r="O30" s="502">
        <v>0</v>
      </c>
      <c r="P30" s="503">
        <v>0</v>
      </c>
      <c r="Q30" s="503">
        <v>0</v>
      </c>
      <c r="R30" s="504">
        <v>0</v>
      </c>
      <c r="S30" s="502">
        <v>5</v>
      </c>
      <c r="T30" s="503">
        <v>0</v>
      </c>
      <c r="U30" s="503">
        <v>0</v>
      </c>
      <c r="V30" s="504">
        <v>0</v>
      </c>
      <c r="W30" s="487">
        <f>SUM(C30:V30)</f>
        <v>20</v>
      </c>
      <c r="X30" s="505" t="str">
        <f>IF(COUNTA(C30:V30)=0,"",IF(W30=W31,"ümbervisk",IF(W30&gt;W31,"finaali "&amp;(IF(W30&lt;MAX(W32:W33),2,IF(W30=MAX(W32:W33),"",1))),"pronksi "&amp;(IF(W30&lt;MIN(W32:W33),2,IF(W30=MIN(W32:W33),"",1))))))</f>
        <v>finaali 2</v>
      </c>
    </row>
    <row r="31" spans="1:32" x14ac:dyDescent="0.2">
      <c r="A31" s="500">
        <v>3</v>
      </c>
      <c r="B31" s="501" t="str">
        <f>IFERROR(INDEX(B$21:B$28,MATCH("edasi "&amp;A31,X$21:X$28,0)),"")</f>
        <v>Urmas Jõeäär</v>
      </c>
      <c r="C31" s="502">
        <v>0</v>
      </c>
      <c r="D31" s="503">
        <v>1</v>
      </c>
      <c r="E31" s="503">
        <v>3</v>
      </c>
      <c r="F31" s="504">
        <v>0</v>
      </c>
      <c r="G31" s="502">
        <v>1</v>
      </c>
      <c r="H31" s="503">
        <v>0</v>
      </c>
      <c r="I31" s="503">
        <v>0</v>
      </c>
      <c r="J31" s="504">
        <v>0</v>
      </c>
      <c r="K31" s="502">
        <v>0</v>
      </c>
      <c r="L31" s="503">
        <v>0</v>
      </c>
      <c r="M31" s="503">
        <v>0</v>
      </c>
      <c r="N31" s="504">
        <v>0</v>
      </c>
      <c r="O31" s="502">
        <v>0</v>
      </c>
      <c r="P31" s="503">
        <v>3</v>
      </c>
      <c r="Q31" s="503">
        <v>0</v>
      </c>
      <c r="R31" s="504">
        <v>0</v>
      </c>
      <c r="S31" s="502">
        <v>0</v>
      </c>
      <c r="T31" s="503">
        <v>5</v>
      </c>
      <c r="U31" s="503">
        <v>0</v>
      </c>
      <c r="V31" s="504">
        <v>0</v>
      </c>
      <c r="W31" s="487">
        <f>SUM(C31:V31)</f>
        <v>13</v>
      </c>
      <c r="X31" s="505" t="str">
        <f>IF(COUNTA(C31:V31)=0,"",IF(W30=W31,"ümbervisk",IF(W31&gt;W30,"finaali "&amp;(IF(W31&lt;MAX(W32:W33),2,IF(W31=MAX(W32:W33),"",1))),"pronksi "&amp;(IF(W31&lt;MIN(W32:W33),2,IF(W31=MIN(W32:W33),"",1))))))</f>
        <v>pronksi 1</v>
      </c>
    </row>
    <row r="32" spans="1:32" x14ac:dyDescent="0.2">
      <c r="A32" s="506">
        <v>1</v>
      </c>
      <c r="B32" s="507" t="str">
        <f>IFERROR(INDEX(B$21:B$28,MATCH("edasi "&amp;A32,X$21:X$28,0)),"")</f>
        <v>Henri Mitt</v>
      </c>
      <c r="C32" s="508">
        <v>0</v>
      </c>
      <c r="D32" s="509">
        <v>5</v>
      </c>
      <c r="E32" s="509">
        <v>3</v>
      </c>
      <c r="F32" s="510">
        <v>1</v>
      </c>
      <c r="G32" s="508">
        <v>0</v>
      </c>
      <c r="H32" s="509">
        <v>3</v>
      </c>
      <c r="I32" s="509">
        <v>0</v>
      </c>
      <c r="J32" s="510">
        <v>0</v>
      </c>
      <c r="K32" s="508">
        <v>1</v>
      </c>
      <c r="L32" s="509">
        <v>3</v>
      </c>
      <c r="M32" s="509">
        <v>3</v>
      </c>
      <c r="N32" s="510">
        <v>0</v>
      </c>
      <c r="O32" s="508">
        <v>0</v>
      </c>
      <c r="P32" s="509">
        <v>0</v>
      </c>
      <c r="Q32" s="509">
        <v>0</v>
      </c>
      <c r="R32" s="510">
        <v>0</v>
      </c>
      <c r="S32" s="508">
        <v>5</v>
      </c>
      <c r="T32" s="509">
        <v>0</v>
      </c>
      <c r="U32" s="509">
        <v>0</v>
      </c>
      <c r="V32" s="510">
        <v>0</v>
      </c>
      <c r="W32" s="493">
        <f>SUM(C32:V32)</f>
        <v>24</v>
      </c>
      <c r="X32" s="511" t="str">
        <f>IF(COUNTA(C32:V32)=0,"",IF(W32=W33,"ümbervisk",IF(W32&gt;W33,"finaali "&amp;(IF(W32&lt;MAX(W30:W31),2,IF(W32=MAX(W30:W31),"",1))),"pronksi "&amp;(IF(W32&lt;MIN(W30:W31),2,IF(W32=MIN(W30:W31),"",1))))))</f>
        <v>finaali 1</v>
      </c>
    </row>
    <row r="33" spans="1:24" ht="13.5" thickBot="1" x14ac:dyDescent="0.25">
      <c r="A33" s="512">
        <v>4</v>
      </c>
      <c r="B33" s="507" t="str">
        <f>IFERROR(INDEX(B$21:B$28,MATCH("edasi "&amp;A33,X$21:X$28,0)),"")</f>
        <v>Olav Türk</v>
      </c>
      <c r="C33" s="513">
        <v>0</v>
      </c>
      <c r="D33" s="514">
        <v>0</v>
      </c>
      <c r="E33" s="514">
        <v>0</v>
      </c>
      <c r="F33" s="515">
        <v>0</v>
      </c>
      <c r="G33" s="513">
        <v>0</v>
      </c>
      <c r="H33" s="514">
        <v>0</v>
      </c>
      <c r="I33" s="514">
        <v>0</v>
      </c>
      <c r="J33" s="515">
        <v>0</v>
      </c>
      <c r="K33" s="513">
        <v>0</v>
      </c>
      <c r="L33" s="514">
        <v>0</v>
      </c>
      <c r="M33" s="514">
        <v>0</v>
      </c>
      <c r="N33" s="515">
        <v>3</v>
      </c>
      <c r="O33" s="513">
        <v>0</v>
      </c>
      <c r="P33" s="514">
        <v>1</v>
      </c>
      <c r="Q33" s="514">
        <v>0</v>
      </c>
      <c r="R33" s="515">
        <v>0</v>
      </c>
      <c r="S33" s="513">
        <v>3</v>
      </c>
      <c r="T33" s="514">
        <v>0</v>
      </c>
      <c r="U33" s="514">
        <v>0</v>
      </c>
      <c r="V33" s="515">
        <v>0</v>
      </c>
      <c r="W33" s="498">
        <f>SUM(C33:V33)</f>
        <v>7</v>
      </c>
      <c r="X33" s="516" t="str">
        <f>IF(COUNTA(C33:V33)=0,"",IF(W32=W33,"ümbervisk",IF(W33&gt;W32,"finaali "&amp;(IF(W33&lt;MAX(W30:W31),2,IF(W33=MAX(W30:W31),"",1))),"pronksi "&amp;(IF(W33&lt;MIN(W30:W31),2,IF(W33=MIN(W30:W31),"",1))))))</f>
        <v>pronksi 2</v>
      </c>
    </row>
    <row r="34" spans="1:24" x14ac:dyDescent="0.2">
      <c r="A34" s="499"/>
      <c r="B34" s="517" t="s">
        <v>285</v>
      </c>
      <c r="C34" s="478"/>
      <c r="D34" s="479"/>
      <c r="E34" s="479"/>
      <c r="F34" s="480"/>
      <c r="G34" s="478"/>
      <c r="H34" s="479"/>
      <c r="I34" s="479"/>
      <c r="J34" s="480"/>
      <c r="K34" s="478"/>
      <c r="L34" s="479"/>
      <c r="M34" s="479"/>
      <c r="N34" s="480"/>
      <c r="O34" s="478"/>
      <c r="P34" s="479"/>
      <c r="Q34" s="479"/>
      <c r="R34" s="480"/>
      <c r="S34" s="478"/>
      <c r="T34" s="479"/>
      <c r="U34" s="479"/>
      <c r="V34" s="480"/>
      <c r="W34" s="518"/>
      <c r="X34" s="481"/>
    </row>
    <row r="35" spans="1:24" x14ac:dyDescent="0.2">
      <c r="A35" s="506">
        <v>1</v>
      </c>
      <c r="B35" s="507" t="str">
        <f>IFERROR(INDEX(B$30:B$33,MATCH("pronksi "&amp;A35,X$30:X$33,0)),"")</f>
        <v>Urmas Jõeäär</v>
      </c>
      <c r="C35" s="508">
        <v>3</v>
      </c>
      <c r="D35" s="509">
        <v>0</v>
      </c>
      <c r="E35" s="509">
        <v>0</v>
      </c>
      <c r="F35" s="510">
        <v>3</v>
      </c>
      <c r="G35" s="508">
        <v>0</v>
      </c>
      <c r="H35" s="509">
        <v>3</v>
      </c>
      <c r="I35" s="509">
        <v>0</v>
      </c>
      <c r="J35" s="510">
        <v>0</v>
      </c>
      <c r="K35" s="508">
        <v>1</v>
      </c>
      <c r="L35" s="509">
        <v>0</v>
      </c>
      <c r="M35" s="509">
        <v>0</v>
      </c>
      <c r="N35" s="510">
        <v>0</v>
      </c>
      <c r="O35" s="508">
        <v>5</v>
      </c>
      <c r="P35" s="509">
        <v>3</v>
      </c>
      <c r="Q35" s="509">
        <v>0</v>
      </c>
      <c r="R35" s="510">
        <v>0</v>
      </c>
      <c r="S35" s="508">
        <v>0</v>
      </c>
      <c r="T35" s="509">
        <v>0</v>
      </c>
      <c r="U35" s="509">
        <v>0</v>
      </c>
      <c r="V35" s="510">
        <v>0</v>
      </c>
      <c r="W35" s="493">
        <f>SUM(C35:V35)</f>
        <v>18</v>
      </c>
      <c r="X35" s="519">
        <f ca="1">IF( INDIRECT("RC[-1]",0)=MAX(( INDIRECT("R[-1]C[-1]",0)):( INDIRECT("R[1]C[-1]",0))),3,4)</f>
        <v>3</v>
      </c>
    </row>
    <row r="36" spans="1:24" ht="13.5" thickBot="1" x14ac:dyDescent="0.25">
      <c r="A36" s="512">
        <v>2</v>
      </c>
      <c r="B36" s="520" t="str">
        <f>IFERROR(INDEX(B$30:B$33,MATCH("pronksi "&amp;A36,X$30:X$33,0)),"")</f>
        <v>Olav Türk</v>
      </c>
      <c r="C36" s="521">
        <v>0</v>
      </c>
      <c r="D36" s="522">
        <v>0</v>
      </c>
      <c r="E36" s="522">
        <v>3</v>
      </c>
      <c r="F36" s="523">
        <v>0</v>
      </c>
      <c r="G36" s="521">
        <v>0</v>
      </c>
      <c r="H36" s="522">
        <v>0</v>
      </c>
      <c r="I36" s="522">
        <v>3</v>
      </c>
      <c r="J36" s="524">
        <v>0</v>
      </c>
      <c r="K36" s="521">
        <v>0</v>
      </c>
      <c r="L36" s="522">
        <v>0</v>
      </c>
      <c r="M36" s="522">
        <v>0</v>
      </c>
      <c r="N36" s="523">
        <v>0</v>
      </c>
      <c r="O36" s="521">
        <v>0</v>
      </c>
      <c r="P36" s="522">
        <v>0</v>
      </c>
      <c r="Q36" s="522">
        <v>0</v>
      </c>
      <c r="R36" s="523">
        <v>0</v>
      </c>
      <c r="S36" s="521">
        <v>0</v>
      </c>
      <c r="T36" s="522">
        <v>0</v>
      </c>
      <c r="U36" s="522">
        <v>0</v>
      </c>
      <c r="V36" s="523">
        <v>0</v>
      </c>
      <c r="W36" s="498">
        <f>SUM(C36:V36)</f>
        <v>6</v>
      </c>
      <c r="X36" s="519">
        <f ca="1">IF( INDIRECT("RC[-1]",0)=MAX(( INDIRECT("R[-1]C[-1]",0)):( INDIRECT("R[1]C[-1]",0))),3,4)</f>
        <v>4</v>
      </c>
    </row>
    <row r="37" spans="1:24" x14ac:dyDescent="0.2">
      <c r="A37" s="499"/>
      <c r="B37" s="517" t="s">
        <v>286</v>
      </c>
      <c r="C37" s="478"/>
      <c r="D37" s="479"/>
      <c r="E37" s="479"/>
      <c r="F37" s="480"/>
      <c r="G37" s="478"/>
      <c r="H37" s="479"/>
      <c r="I37" s="479"/>
      <c r="J37" s="480"/>
      <c r="K37" s="478"/>
      <c r="L37" s="479"/>
      <c r="M37" s="479"/>
      <c r="N37" s="480"/>
      <c r="O37" s="478"/>
      <c r="P37" s="479"/>
      <c r="Q37" s="479"/>
      <c r="R37" s="480"/>
      <c r="S37" s="478"/>
      <c r="T37" s="479"/>
      <c r="U37" s="479"/>
      <c r="V37" s="480"/>
      <c r="W37" s="518"/>
      <c r="X37" s="481"/>
    </row>
    <row r="38" spans="1:24" x14ac:dyDescent="0.2">
      <c r="A38" s="506">
        <v>1</v>
      </c>
      <c r="B38" s="507" t="str">
        <f>IFERROR(INDEX(B$30:B$33,MATCH("finaali "&amp;A38,X$30:X$33,0)),"")</f>
        <v>Henri Mitt</v>
      </c>
      <c r="C38" s="508">
        <v>3</v>
      </c>
      <c r="D38" s="509">
        <v>3</v>
      </c>
      <c r="E38" s="509">
        <v>0</v>
      </c>
      <c r="F38" s="510">
        <v>0</v>
      </c>
      <c r="G38" s="508">
        <v>0</v>
      </c>
      <c r="H38" s="509">
        <v>0</v>
      </c>
      <c r="I38" s="509">
        <v>3</v>
      </c>
      <c r="J38" s="510">
        <v>3</v>
      </c>
      <c r="K38" s="508">
        <v>3</v>
      </c>
      <c r="L38" s="509">
        <v>3</v>
      </c>
      <c r="M38" s="509">
        <v>0</v>
      </c>
      <c r="N38" s="510">
        <v>0</v>
      </c>
      <c r="O38" s="508">
        <v>3</v>
      </c>
      <c r="P38" s="509">
        <v>3</v>
      </c>
      <c r="Q38" s="509">
        <v>3</v>
      </c>
      <c r="R38" s="510">
        <v>0</v>
      </c>
      <c r="S38" s="508">
        <v>0</v>
      </c>
      <c r="T38" s="509">
        <v>0</v>
      </c>
      <c r="U38" s="509">
        <v>5</v>
      </c>
      <c r="V38" s="510">
        <v>0</v>
      </c>
      <c r="W38" s="493">
        <f>SUM(C38:V38)</f>
        <v>32</v>
      </c>
      <c r="X38" s="519">
        <f ca="1">IF( INDIRECT("RC[-1]",0)=MAX(( INDIRECT("R[-1]C[-1]",0)):( INDIRECT("R[1]C[-1]",0))),1,2)</f>
        <v>1</v>
      </c>
    </row>
    <row r="39" spans="1:24" ht="13.5" thickBot="1" x14ac:dyDescent="0.25">
      <c r="A39" s="512">
        <v>2</v>
      </c>
      <c r="B39" s="526" t="str">
        <f>IFERROR(INDEX(B$30:B$33,MATCH("finaali "&amp;A39,X$30:X$33,0)),"")</f>
        <v>Oskar Sepp</v>
      </c>
      <c r="C39" s="513">
        <v>0</v>
      </c>
      <c r="D39" s="514">
        <v>3</v>
      </c>
      <c r="E39" s="514">
        <v>3</v>
      </c>
      <c r="F39" s="515">
        <v>0</v>
      </c>
      <c r="G39" s="513">
        <v>0</v>
      </c>
      <c r="H39" s="514">
        <v>0</v>
      </c>
      <c r="I39" s="514">
        <v>5</v>
      </c>
      <c r="J39" s="515">
        <v>0</v>
      </c>
      <c r="K39" s="513">
        <v>3</v>
      </c>
      <c r="L39" s="514">
        <v>3</v>
      </c>
      <c r="M39" s="514">
        <v>0</v>
      </c>
      <c r="N39" s="515">
        <v>0</v>
      </c>
      <c r="O39" s="513">
        <v>3</v>
      </c>
      <c r="P39" s="514">
        <v>0</v>
      </c>
      <c r="Q39" s="514">
        <v>3</v>
      </c>
      <c r="R39" s="515">
        <v>0</v>
      </c>
      <c r="S39" s="513">
        <v>0</v>
      </c>
      <c r="T39" s="514">
        <v>0</v>
      </c>
      <c r="U39" s="514">
        <v>5</v>
      </c>
      <c r="V39" s="515">
        <v>0</v>
      </c>
      <c r="W39" s="498">
        <f>SUM(C39:V39)</f>
        <v>28</v>
      </c>
      <c r="X39" s="525">
        <f ca="1">IF( INDIRECT("RC[-1]",0)=MAX(( INDIRECT("R[-1]C[-1]",0)):( INDIRECT("R[1]C[-1]",0))),1,2)</f>
        <v>2</v>
      </c>
    </row>
    <row r="40" spans="1:24" hidden="1" x14ac:dyDescent="0.2">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row>
    <row r="41" spans="1:24" hidden="1" x14ac:dyDescent="0.2">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row>
    <row r="42" spans="1:24" hidden="1" x14ac:dyDescent="0.2">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row>
    <row r="43" spans="1:24" hidden="1" x14ac:dyDescent="0.2">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row>
    <row r="44" spans="1:24" hidden="1" x14ac:dyDescent="0.2">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row>
    <row r="45" spans="1:24" hidden="1" x14ac:dyDescent="0.2">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row>
    <row r="46" spans="1:24" hidden="1" x14ac:dyDescent="0.2">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row>
    <row r="47" spans="1:24" hidden="1" x14ac:dyDescent="0.2">
      <c r="A47" s="527"/>
      <c r="B47" s="527"/>
      <c r="C47" s="527"/>
      <c r="D47" s="527"/>
      <c r="E47" s="527"/>
      <c r="F47" s="527"/>
      <c r="G47" s="527"/>
      <c r="H47" s="527"/>
      <c r="I47" s="527"/>
      <c r="J47" s="527"/>
      <c r="K47" s="527"/>
      <c r="L47" s="527"/>
      <c r="M47" s="527"/>
      <c r="N47" s="527"/>
      <c r="O47" s="527"/>
      <c r="P47" s="527"/>
      <c r="Q47" s="527"/>
      <c r="R47" s="527"/>
      <c r="S47" s="527"/>
      <c r="T47" s="527"/>
      <c r="U47" s="527"/>
      <c r="V47" s="527"/>
      <c r="W47" s="527"/>
      <c r="X47" s="527"/>
    </row>
    <row r="48" spans="1:24" hidden="1" x14ac:dyDescent="0.2">
      <c r="A48" s="527"/>
      <c r="B48" s="527"/>
      <c r="C48" s="527"/>
      <c r="D48" s="527"/>
      <c r="E48" s="527"/>
      <c r="F48" s="527"/>
      <c r="G48" s="527"/>
      <c r="H48" s="527"/>
      <c r="I48" s="527"/>
      <c r="J48" s="527"/>
      <c r="K48" s="527"/>
      <c r="L48" s="527"/>
      <c r="M48" s="527"/>
      <c r="N48" s="527"/>
      <c r="O48" s="527"/>
      <c r="P48" s="527"/>
      <c r="Q48" s="527"/>
      <c r="R48" s="527"/>
      <c r="S48" s="527"/>
      <c r="T48" s="527"/>
      <c r="U48" s="527"/>
      <c r="V48" s="527"/>
      <c r="W48" s="527"/>
      <c r="X48" s="527"/>
    </row>
    <row r="49" spans="1:24" hidden="1" x14ac:dyDescent="0.2">
      <c r="A49" s="527"/>
      <c r="B49" s="527"/>
      <c r="C49" s="527"/>
      <c r="D49" s="527"/>
      <c r="E49" s="527"/>
      <c r="F49" s="527"/>
      <c r="G49" s="527"/>
      <c r="H49" s="527"/>
      <c r="I49" s="527"/>
      <c r="J49" s="527"/>
      <c r="K49" s="527"/>
      <c r="L49" s="527"/>
      <c r="M49" s="527"/>
      <c r="N49" s="527"/>
      <c r="O49" s="527"/>
      <c r="P49" s="527"/>
      <c r="Q49" s="527"/>
      <c r="R49" s="527"/>
      <c r="S49" s="527"/>
      <c r="T49" s="527"/>
      <c r="U49" s="527"/>
      <c r="V49" s="527"/>
      <c r="W49" s="527"/>
      <c r="X49" s="527"/>
    </row>
    <row r="50" spans="1:24" hidden="1" x14ac:dyDescent="0.2">
      <c r="A50" s="527"/>
      <c r="B50" s="527"/>
      <c r="C50" s="527"/>
      <c r="D50" s="527"/>
      <c r="E50" s="527"/>
      <c r="F50" s="527"/>
      <c r="G50" s="527"/>
      <c r="H50" s="527"/>
      <c r="I50" s="527"/>
      <c r="J50" s="527"/>
      <c r="K50" s="527"/>
      <c r="L50" s="527"/>
      <c r="M50" s="527"/>
      <c r="N50" s="527"/>
      <c r="O50" s="527"/>
      <c r="P50" s="527"/>
      <c r="Q50" s="527"/>
      <c r="R50" s="527"/>
      <c r="S50" s="527"/>
      <c r="T50" s="527"/>
      <c r="U50" s="527"/>
      <c r="V50" s="527"/>
      <c r="W50" s="527"/>
      <c r="X50" s="527"/>
    </row>
    <row r="51" spans="1:24" hidden="1" x14ac:dyDescent="0.2">
      <c r="A51" s="527"/>
      <c r="B51" s="527"/>
      <c r="C51" s="527"/>
      <c r="D51" s="527"/>
      <c r="E51" s="527"/>
      <c r="F51" s="527"/>
      <c r="G51" s="527"/>
      <c r="H51" s="527"/>
      <c r="I51" s="527"/>
      <c r="J51" s="527"/>
      <c r="K51" s="527"/>
      <c r="L51" s="527"/>
      <c r="M51" s="527"/>
      <c r="N51" s="527"/>
      <c r="O51" s="527"/>
      <c r="P51" s="527"/>
      <c r="Q51" s="527"/>
      <c r="R51" s="527"/>
      <c r="S51" s="527"/>
      <c r="T51" s="527"/>
      <c r="U51" s="527"/>
      <c r="V51" s="527"/>
      <c r="W51" s="527"/>
      <c r="X51" s="527"/>
    </row>
    <row r="52" spans="1:24" hidden="1" x14ac:dyDescent="0.2">
      <c r="A52" s="527"/>
      <c r="B52" s="527"/>
      <c r="C52" s="527"/>
      <c r="D52" s="527"/>
      <c r="E52" s="527"/>
      <c r="F52" s="527"/>
      <c r="G52" s="527"/>
      <c r="H52" s="527"/>
      <c r="I52" s="527"/>
      <c r="J52" s="527"/>
      <c r="K52" s="527"/>
      <c r="L52" s="527"/>
      <c r="M52" s="527"/>
      <c r="N52" s="527"/>
      <c r="O52" s="527"/>
      <c r="P52" s="527"/>
      <c r="Q52" s="527"/>
      <c r="R52" s="527"/>
      <c r="S52" s="527"/>
      <c r="T52" s="527"/>
      <c r="U52" s="527"/>
      <c r="V52" s="527"/>
      <c r="W52" s="527"/>
      <c r="X52" s="527"/>
    </row>
    <row r="53" spans="1:24" hidden="1" x14ac:dyDescent="0.2">
      <c r="A53" s="527"/>
      <c r="B53" s="527"/>
      <c r="C53" s="527"/>
      <c r="D53" s="527"/>
      <c r="E53" s="527"/>
      <c r="F53" s="527"/>
      <c r="G53" s="527"/>
      <c r="H53" s="527"/>
      <c r="I53" s="527"/>
      <c r="J53" s="527"/>
      <c r="K53" s="527"/>
      <c r="L53" s="527"/>
      <c r="M53" s="527"/>
      <c r="N53" s="527"/>
      <c r="O53" s="527"/>
      <c r="P53" s="527"/>
      <c r="Q53" s="527"/>
      <c r="R53" s="527"/>
      <c r="S53" s="527"/>
      <c r="T53" s="527"/>
      <c r="U53" s="527"/>
      <c r="V53" s="527"/>
      <c r="W53" s="527"/>
      <c r="X53" s="527"/>
    </row>
    <row r="54" spans="1:24" hidden="1" x14ac:dyDescent="0.2">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527"/>
    </row>
    <row r="55" spans="1:24" hidden="1" x14ac:dyDescent="0.2">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527"/>
    </row>
    <row r="56" spans="1:24" hidden="1" x14ac:dyDescent="0.2">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row>
    <row r="57" spans="1:24" hidden="1" x14ac:dyDescent="0.2">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527"/>
    </row>
    <row r="58" spans="1:24" hidden="1" x14ac:dyDescent="0.2">
      <c r="A58" s="527"/>
      <c r="B58" s="527"/>
      <c r="C58" s="527"/>
      <c r="D58" s="527"/>
      <c r="E58" s="527"/>
      <c r="F58" s="527"/>
      <c r="G58" s="527"/>
      <c r="H58" s="527"/>
      <c r="I58" s="527"/>
      <c r="J58" s="527"/>
      <c r="K58" s="527"/>
      <c r="L58" s="527"/>
      <c r="M58" s="527"/>
      <c r="N58" s="527"/>
      <c r="O58" s="527"/>
      <c r="P58" s="527"/>
      <c r="Q58" s="527"/>
      <c r="R58" s="527"/>
      <c r="S58" s="527"/>
      <c r="T58" s="527"/>
      <c r="U58" s="527"/>
      <c r="V58" s="527"/>
      <c r="W58" s="527"/>
      <c r="X58" s="527"/>
    </row>
    <row r="59" spans="1:24" hidden="1" x14ac:dyDescent="0.2">
      <c r="A59" s="527"/>
      <c r="B59" s="527"/>
      <c r="C59" s="527"/>
      <c r="D59" s="527"/>
      <c r="E59" s="527"/>
      <c r="F59" s="527"/>
      <c r="G59" s="527"/>
      <c r="H59" s="527"/>
      <c r="I59" s="527"/>
      <c r="J59" s="527"/>
      <c r="K59" s="527"/>
      <c r="L59" s="527"/>
      <c r="M59" s="527"/>
      <c r="N59" s="527"/>
      <c r="O59" s="527"/>
      <c r="P59" s="527"/>
      <c r="Q59" s="527"/>
      <c r="R59" s="527"/>
      <c r="S59" s="527"/>
      <c r="T59" s="527"/>
      <c r="U59" s="527"/>
      <c r="V59" s="527"/>
      <c r="W59" s="527"/>
      <c r="X59" s="527"/>
    </row>
    <row r="60" spans="1:24" hidden="1" x14ac:dyDescent="0.2">
      <c r="A60" s="527"/>
      <c r="B60" s="527"/>
      <c r="C60" s="527"/>
      <c r="D60" s="527"/>
      <c r="E60" s="527"/>
      <c r="F60" s="527"/>
      <c r="G60" s="527"/>
      <c r="H60" s="527"/>
      <c r="I60" s="527"/>
      <c r="J60" s="527"/>
      <c r="K60" s="527"/>
      <c r="L60" s="527"/>
      <c r="M60" s="527"/>
      <c r="N60" s="527"/>
      <c r="O60" s="527"/>
      <c r="P60" s="527"/>
      <c r="Q60" s="527"/>
      <c r="R60" s="527"/>
      <c r="S60" s="527"/>
      <c r="T60" s="527"/>
      <c r="U60" s="527"/>
      <c r="V60" s="527"/>
      <c r="W60" s="527"/>
      <c r="X60" s="527"/>
    </row>
    <row r="61" spans="1:24" hidden="1" x14ac:dyDescent="0.2">
      <c r="A61" s="527"/>
      <c r="B61" s="527"/>
      <c r="C61" s="527"/>
      <c r="D61" s="527"/>
      <c r="E61" s="527"/>
      <c r="F61" s="527"/>
      <c r="G61" s="527"/>
      <c r="H61" s="527"/>
      <c r="I61" s="527"/>
      <c r="J61" s="527"/>
      <c r="K61" s="527"/>
      <c r="L61" s="527"/>
      <c r="M61" s="527"/>
      <c r="N61" s="527"/>
      <c r="O61" s="527"/>
      <c r="P61" s="527"/>
      <c r="Q61" s="527"/>
      <c r="R61" s="527"/>
      <c r="S61" s="527"/>
      <c r="T61" s="527"/>
      <c r="U61" s="527"/>
      <c r="V61" s="527"/>
      <c r="W61" s="527"/>
      <c r="X61" s="527"/>
    </row>
    <row r="62" spans="1:24" hidden="1" x14ac:dyDescent="0.2">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row>
    <row r="63" spans="1:24" hidden="1" x14ac:dyDescent="0.2">
      <c r="A63" s="527"/>
      <c r="B63" s="527"/>
      <c r="C63" s="527"/>
      <c r="D63" s="527"/>
      <c r="E63" s="527"/>
      <c r="F63" s="527"/>
      <c r="G63" s="527"/>
      <c r="H63" s="527"/>
      <c r="I63" s="527"/>
      <c r="J63" s="527"/>
      <c r="K63" s="527"/>
      <c r="L63" s="527"/>
      <c r="M63" s="527"/>
      <c r="N63" s="527"/>
      <c r="O63" s="527"/>
      <c r="P63" s="527"/>
      <c r="Q63" s="527"/>
      <c r="R63" s="527"/>
      <c r="S63" s="527"/>
      <c r="T63" s="527"/>
      <c r="U63" s="527"/>
      <c r="V63" s="527"/>
      <c r="W63" s="527"/>
      <c r="X63" s="527"/>
    </row>
    <row r="64" spans="1:24" hidden="1" x14ac:dyDescent="0.2">
      <c r="A64" s="527"/>
      <c r="B64" s="527"/>
      <c r="C64" s="527"/>
      <c r="D64" s="527"/>
      <c r="E64" s="527"/>
      <c r="F64" s="527"/>
      <c r="G64" s="527"/>
      <c r="H64" s="527"/>
      <c r="I64" s="527"/>
      <c r="J64" s="527"/>
      <c r="K64" s="527"/>
      <c r="L64" s="527"/>
      <c r="M64" s="527"/>
      <c r="N64" s="527"/>
      <c r="O64" s="527"/>
      <c r="P64" s="527"/>
      <c r="Q64" s="527"/>
      <c r="R64" s="527"/>
      <c r="S64" s="527"/>
      <c r="T64" s="527"/>
      <c r="U64" s="527"/>
      <c r="V64" s="527"/>
      <c r="W64" s="527"/>
      <c r="X64" s="527"/>
    </row>
    <row r="65" spans="1:24" hidden="1" x14ac:dyDescent="0.2">
      <c r="A65" s="527"/>
      <c r="B65" s="527"/>
      <c r="C65" s="527"/>
      <c r="D65" s="527"/>
      <c r="E65" s="527"/>
      <c r="F65" s="527"/>
      <c r="G65" s="527"/>
      <c r="H65" s="527"/>
      <c r="I65" s="527"/>
      <c r="J65" s="527"/>
      <c r="K65" s="527"/>
      <c r="L65" s="527"/>
      <c r="M65" s="527"/>
      <c r="N65" s="527"/>
      <c r="O65" s="527"/>
      <c r="P65" s="527"/>
      <c r="Q65" s="527"/>
      <c r="R65" s="527"/>
      <c r="S65" s="527"/>
      <c r="T65" s="527"/>
      <c r="U65" s="527"/>
      <c r="V65" s="527"/>
      <c r="W65" s="527"/>
      <c r="X65" s="527"/>
    </row>
    <row r="66" spans="1:24" hidden="1" x14ac:dyDescent="0.2">
      <c r="A66" s="527"/>
      <c r="B66" s="527"/>
      <c r="C66" s="527"/>
      <c r="D66" s="527"/>
      <c r="E66" s="527"/>
      <c r="F66" s="527"/>
      <c r="G66" s="527"/>
      <c r="H66" s="527"/>
      <c r="I66" s="527"/>
      <c r="J66" s="527"/>
      <c r="K66" s="527"/>
      <c r="L66" s="527"/>
      <c r="M66" s="527"/>
      <c r="N66" s="527"/>
      <c r="O66" s="527"/>
      <c r="P66" s="527"/>
      <c r="Q66" s="527"/>
      <c r="R66" s="527"/>
      <c r="S66" s="527"/>
      <c r="T66" s="527"/>
      <c r="U66" s="527"/>
      <c r="V66" s="527"/>
      <c r="W66" s="527"/>
      <c r="X66" s="527"/>
    </row>
    <row r="67" spans="1:24" hidden="1" x14ac:dyDescent="0.2">
      <c r="A67" s="527"/>
      <c r="B67" s="527"/>
      <c r="C67" s="527"/>
      <c r="D67" s="527"/>
      <c r="E67" s="527"/>
      <c r="F67" s="527"/>
      <c r="G67" s="527"/>
      <c r="H67" s="527"/>
      <c r="I67" s="527"/>
      <c r="J67" s="527"/>
      <c r="K67" s="527"/>
      <c r="L67" s="527"/>
      <c r="M67" s="527"/>
      <c r="N67" s="527"/>
      <c r="O67" s="527"/>
      <c r="P67" s="527"/>
      <c r="Q67" s="527"/>
      <c r="R67" s="527"/>
      <c r="S67" s="527"/>
      <c r="T67" s="527"/>
      <c r="U67" s="527"/>
      <c r="V67" s="527"/>
      <c r="W67" s="527"/>
      <c r="X67" s="527"/>
    </row>
    <row r="68" spans="1:24" hidden="1" x14ac:dyDescent="0.2">
      <c r="A68" s="527"/>
      <c r="B68" s="527"/>
      <c r="C68" s="527"/>
      <c r="D68" s="527"/>
      <c r="E68" s="527"/>
      <c r="F68" s="527"/>
      <c r="G68" s="527"/>
      <c r="H68" s="527"/>
      <c r="I68" s="527"/>
      <c r="J68" s="527"/>
      <c r="K68" s="527"/>
      <c r="L68" s="527"/>
      <c r="M68" s="527"/>
      <c r="N68" s="527"/>
      <c r="O68" s="527"/>
      <c r="P68" s="527"/>
      <c r="Q68" s="527"/>
      <c r="R68" s="527"/>
      <c r="S68" s="527"/>
      <c r="T68" s="527"/>
      <c r="U68" s="527"/>
      <c r="V68" s="527"/>
      <c r="W68" s="527"/>
      <c r="X68" s="527"/>
    </row>
    <row r="69" spans="1:24" hidden="1" x14ac:dyDescent="0.2">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527"/>
    </row>
    <row r="70" spans="1:24" hidden="1" x14ac:dyDescent="0.2">
      <c r="A70" s="527"/>
      <c r="B70" s="527"/>
      <c r="C70" s="527"/>
      <c r="D70" s="527"/>
      <c r="E70" s="527"/>
      <c r="F70" s="527"/>
      <c r="G70" s="527"/>
      <c r="H70" s="527"/>
      <c r="I70" s="527"/>
      <c r="J70" s="527"/>
      <c r="K70" s="527"/>
      <c r="L70" s="527"/>
      <c r="M70" s="527"/>
      <c r="N70" s="527"/>
      <c r="O70" s="527"/>
      <c r="P70" s="527"/>
      <c r="Q70" s="527"/>
      <c r="R70" s="527"/>
      <c r="S70" s="527"/>
      <c r="T70" s="527"/>
      <c r="U70" s="527"/>
      <c r="V70" s="527"/>
      <c r="W70" s="527"/>
      <c r="X70" s="527"/>
    </row>
    <row r="71" spans="1:24" hidden="1" x14ac:dyDescent="0.2">
      <c r="A71" s="527"/>
      <c r="B71" s="527"/>
      <c r="C71" s="527"/>
      <c r="D71" s="527"/>
      <c r="E71" s="527"/>
      <c r="F71" s="527"/>
      <c r="G71" s="527"/>
      <c r="H71" s="527"/>
      <c r="I71" s="527"/>
      <c r="J71" s="527"/>
      <c r="K71" s="527"/>
      <c r="L71" s="527"/>
      <c r="M71" s="527"/>
      <c r="N71" s="527"/>
      <c r="O71" s="527"/>
      <c r="P71" s="527"/>
      <c r="Q71" s="527"/>
      <c r="R71" s="527"/>
      <c r="S71" s="527"/>
      <c r="T71" s="527"/>
      <c r="U71" s="527"/>
      <c r="V71" s="527"/>
      <c r="W71" s="527"/>
      <c r="X71" s="527"/>
    </row>
    <row r="72" spans="1:24" hidden="1" x14ac:dyDescent="0.2">
      <c r="A72" s="527"/>
      <c r="B72" s="527"/>
      <c r="C72" s="527"/>
      <c r="D72" s="527"/>
      <c r="E72" s="527"/>
      <c r="F72" s="527"/>
      <c r="G72" s="527"/>
      <c r="H72" s="527"/>
      <c r="I72" s="527"/>
      <c r="J72" s="527"/>
      <c r="K72" s="527"/>
      <c r="L72" s="527"/>
      <c r="M72" s="527"/>
      <c r="N72" s="527"/>
      <c r="O72" s="527"/>
      <c r="P72" s="527"/>
      <c r="Q72" s="527"/>
      <c r="R72" s="527"/>
      <c r="S72" s="527"/>
      <c r="T72" s="527"/>
      <c r="U72" s="527"/>
      <c r="V72" s="527"/>
      <c r="W72" s="527"/>
      <c r="X72" s="527"/>
    </row>
    <row r="73" spans="1:24" hidden="1" x14ac:dyDescent="0.2">
      <c r="A73" s="527"/>
      <c r="B73" s="527"/>
      <c r="C73" s="527"/>
      <c r="D73" s="527"/>
      <c r="E73" s="527"/>
      <c r="F73" s="527"/>
      <c r="G73" s="527"/>
      <c r="H73" s="527"/>
      <c r="I73" s="527"/>
      <c r="J73" s="527"/>
      <c r="K73" s="527"/>
      <c r="L73" s="527"/>
      <c r="M73" s="527"/>
      <c r="N73" s="527"/>
      <c r="O73" s="527"/>
      <c r="P73" s="527"/>
      <c r="Q73" s="527"/>
      <c r="R73" s="527"/>
      <c r="S73" s="527"/>
      <c r="T73" s="527"/>
      <c r="U73" s="527"/>
      <c r="V73" s="527"/>
      <c r="W73" s="527"/>
      <c r="X73" s="527"/>
    </row>
    <row r="74" spans="1:24" hidden="1" x14ac:dyDescent="0.2">
      <c r="A74" s="527"/>
      <c r="B74" s="527"/>
      <c r="C74" s="527"/>
      <c r="D74" s="527"/>
      <c r="E74" s="527"/>
      <c r="F74" s="527"/>
      <c r="G74" s="527"/>
      <c r="H74" s="527"/>
      <c r="I74" s="527"/>
      <c r="J74" s="527"/>
      <c r="K74" s="527"/>
      <c r="L74" s="527"/>
      <c r="M74" s="527"/>
      <c r="N74" s="527"/>
      <c r="O74" s="527"/>
      <c r="P74" s="527"/>
      <c r="Q74" s="527"/>
      <c r="R74" s="527"/>
      <c r="S74" s="527"/>
      <c r="T74" s="527"/>
      <c r="U74" s="527"/>
      <c r="V74" s="527"/>
      <c r="W74" s="527"/>
      <c r="X74" s="527"/>
    </row>
    <row r="75" spans="1:24" hidden="1" x14ac:dyDescent="0.2">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row>
    <row r="76" spans="1:24" hidden="1" x14ac:dyDescent="0.2">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row>
    <row r="77" spans="1:24" hidden="1" x14ac:dyDescent="0.2">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row>
    <row r="78" spans="1:24" hidden="1" x14ac:dyDescent="0.2">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row>
    <row r="79" spans="1:24" hidden="1" x14ac:dyDescent="0.2">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row>
    <row r="80" spans="1:24" hidden="1" x14ac:dyDescent="0.2">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row>
    <row r="81" spans="1:24" hidden="1" x14ac:dyDescent="0.2">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row>
    <row r="82" spans="1:24" hidden="1" x14ac:dyDescent="0.2">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row>
    <row r="83" spans="1:24" hidden="1" x14ac:dyDescent="0.2">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row>
    <row r="84" spans="1:24" hidden="1" x14ac:dyDescent="0.2">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row>
    <row r="85" spans="1:24" hidden="1" x14ac:dyDescent="0.2">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row>
    <row r="86" spans="1:24" hidden="1" x14ac:dyDescent="0.2">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row>
    <row r="87" spans="1:24" hidden="1" x14ac:dyDescent="0.2">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row>
    <row r="88" spans="1:24" hidden="1" x14ac:dyDescent="0.2">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row>
    <row r="89" spans="1:24" hidden="1" x14ac:dyDescent="0.2">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row>
    <row r="90" spans="1:24" hidden="1" x14ac:dyDescent="0.2">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row>
    <row r="91" spans="1:24" hidden="1" x14ac:dyDescent="0.2">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row>
    <row r="92" spans="1:24" hidden="1" x14ac:dyDescent="0.2">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row>
    <row r="93" spans="1:24" hidden="1" x14ac:dyDescent="0.2">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row>
    <row r="94" spans="1:24" hidden="1" x14ac:dyDescent="0.2">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row>
    <row r="95" spans="1:24" hidden="1" x14ac:dyDescent="0.2">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row>
    <row r="96" spans="1:24" hidden="1" x14ac:dyDescent="0.2">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row>
    <row r="97" spans="1:24" hidden="1" x14ac:dyDescent="0.2">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row>
    <row r="98" spans="1:24" hidden="1" x14ac:dyDescent="0.2">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row>
    <row r="99" spans="1:24" hidden="1" x14ac:dyDescent="0.2">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row>
    <row r="100" spans="1:24" hidden="1" x14ac:dyDescent="0.2">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row>
    <row r="101" spans="1:24" hidden="1" x14ac:dyDescent="0.2">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row>
    <row r="102" spans="1:24" hidden="1" x14ac:dyDescent="0.2">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row>
    <row r="103" spans="1:24" hidden="1" x14ac:dyDescent="0.2">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row>
    <row r="104" spans="1:24" hidden="1" x14ac:dyDescent="0.2">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row>
    <row r="105" spans="1:24" hidden="1" x14ac:dyDescent="0.2">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row>
    <row r="106" spans="1:24" hidden="1" x14ac:dyDescent="0.2">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row>
    <row r="107" spans="1:24" hidden="1" x14ac:dyDescent="0.2">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row>
    <row r="108" spans="1:24" hidden="1" x14ac:dyDescent="0.2">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row>
    <row r="109" spans="1:24" hidden="1" x14ac:dyDescent="0.2">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row>
    <row r="110" spans="1:24" hidden="1" x14ac:dyDescent="0.2">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row>
    <row r="111" spans="1:24" hidden="1" x14ac:dyDescent="0.2">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row>
    <row r="112" spans="1:24" hidden="1" x14ac:dyDescent="0.2">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row>
    <row r="113" spans="1:24" hidden="1" x14ac:dyDescent="0.2">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row>
    <row r="114" spans="1:24" hidden="1" x14ac:dyDescent="0.2">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row>
    <row r="115" spans="1:24" hidden="1" x14ac:dyDescent="0.2">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row>
    <row r="116" spans="1:24" hidden="1" x14ac:dyDescent="0.2">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row>
    <row r="117" spans="1:24" hidden="1" x14ac:dyDescent="0.2">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row>
    <row r="118" spans="1:24" hidden="1" x14ac:dyDescent="0.2">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row>
    <row r="119" spans="1:24" hidden="1" x14ac:dyDescent="0.2">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row>
    <row r="120" spans="1:24" hidden="1" x14ac:dyDescent="0.2">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row>
    <row r="121" spans="1:24" hidden="1" x14ac:dyDescent="0.2">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row>
    <row r="122" spans="1:24" hidden="1" x14ac:dyDescent="0.2">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row>
    <row r="123" spans="1:24" hidden="1" x14ac:dyDescent="0.2">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row>
    <row r="124" spans="1:24" hidden="1" x14ac:dyDescent="0.2">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row>
    <row r="125" spans="1:24" hidden="1" x14ac:dyDescent="0.2">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row>
    <row r="126" spans="1:24" hidden="1" x14ac:dyDescent="0.2">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row>
    <row r="127" spans="1:24" hidden="1" x14ac:dyDescent="0.2">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row>
    <row r="128" spans="1:24" hidden="1" x14ac:dyDescent="0.2">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row>
    <row r="129" spans="1:24" hidden="1" x14ac:dyDescent="0.2">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row>
    <row r="130" spans="1:24" hidden="1" x14ac:dyDescent="0.2">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row>
    <row r="131" spans="1:24" hidden="1" x14ac:dyDescent="0.2">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row>
    <row r="132" spans="1:24" hidden="1" x14ac:dyDescent="0.2">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row>
    <row r="133" spans="1:24" hidden="1" x14ac:dyDescent="0.2">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row>
    <row r="134" spans="1:24" hidden="1" x14ac:dyDescent="0.2">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row>
    <row r="135" spans="1:24" hidden="1" x14ac:dyDescent="0.2">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row>
    <row r="136" spans="1:24" hidden="1" x14ac:dyDescent="0.2">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row>
    <row r="137" spans="1:24" hidden="1" x14ac:dyDescent="0.2">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row>
    <row r="138" spans="1:24" hidden="1" x14ac:dyDescent="0.2">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row>
    <row r="139" spans="1:24" hidden="1" x14ac:dyDescent="0.2">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row>
    <row r="140" spans="1:24" hidden="1" x14ac:dyDescent="0.2">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row>
    <row r="141" spans="1:24" hidden="1" x14ac:dyDescent="0.2">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row>
    <row r="142" spans="1:24" hidden="1" x14ac:dyDescent="0.2">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row>
    <row r="143" spans="1:24" hidden="1" x14ac:dyDescent="0.2">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row>
    <row r="144" spans="1:24" hidden="1" x14ac:dyDescent="0.2">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row>
    <row r="145" spans="1:24" hidden="1" x14ac:dyDescent="0.2">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row>
    <row r="146" spans="1:24" hidden="1" x14ac:dyDescent="0.2">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row>
    <row r="147" spans="1:24" hidden="1" x14ac:dyDescent="0.2">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row>
    <row r="148" spans="1:24" hidden="1" x14ac:dyDescent="0.2">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row>
    <row r="149" spans="1:24" hidden="1" x14ac:dyDescent="0.2">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row>
    <row r="150" spans="1:24" hidden="1" x14ac:dyDescent="0.2">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row>
    <row r="151" spans="1:24" hidden="1" x14ac:dyDescent="0.2">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row>
    <row r="152" spans="1:24" hidden="1" x14ac:dyDescent="0.2">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row>
    <row r="153" spans="1:24" hidden="1" x14ac:dyDescent="0.2">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row>
    <row r="154" spans="1:24" hidden="1" x14ac:dyDescent="0.2">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row>
    <row r="155" spans="1:24" hidden="1" x14ac:dyDescent="0.2">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row>
    <row r="156" spans="1:24" hidden="1" x14ac:dyDescent="0.2">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row>
    <row r="157" spans="1:24" hidden="1" x14ac:dyDescent="0.2">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row>
    <row r="158" spans="1:24" hidden="1" x14ac:dyDescent="0.2">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row>
    <row r="159" spans="1:24" hidden="1" x14ac:dyDescent="0.2">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row>
    <row r="160" spans="1:24" hidden="1" x14ac:dyDescent="0.2">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row>
    <row r="161" spans="1:24" hidden="1" x14ac:dyDescent="0.2">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row>
    <row r="162" spans="1:24" hidden="1" x14ac:dyDescent="0.2">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row>
    <row r="163" spans="1:24" hidden="1" x14ac:dyDescent="0.2">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row>
    <row r="164" spans="1:24" hidden="1" x14ac:dyDescent="0.2">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row>
    <row r="165" spans="1:24" hidden="1" x14ac:dyDescent="0.2">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row>
    <row r="166" spans="1:24" hidden="1" x14ac:dyDescent="0.2">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row>
    <row r="167" spans="1:24" hidden="1" x14ac:dyDescent="0.2">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row>
    <row r="168" spans="1:24" hidden="1" x14ac:dyDescent="0.2">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row>
    <row r="169" spans="1:24" hidden="1" x14ac:dyDescent="0.2">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row>
    <row r="170" spans="1:24" hidden="1" x14ac:dyDescent="0.2">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row>
    <row r="171" spans="1:24" hidden="1" x14ac:dyDescent="0.2">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row>
    <row r="172" spans="1:24" hidden="1" x14ac:dyDescent="0.2">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row>
    <row r="173" spans="1:24" hidden="1" x14ac:dyDescent="0.2">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row>
    <row r="174" spans="1:24" hidden="1" x14ac:dyDescent="0.2">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row>
    <row r="175" spans="1:24" hidden="1" x14ac:dyDescent="0.2">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row>
    <row r="176" spans="1:24" hidden="1" x14ac:dyDescent="0.2">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row>
    <row r="177" spans="1:24" hidden="1" x14ac:dyDescent="0.2">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row>
    <row r="178" spans="1:24" hidden="1" x14ac:dyDescent="0.2">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row>
    <row r="179" spans="1:24" hidden="1" x14ac:dyDescent="0.2">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row>
    <row r="180" spans="1:24" hidden="1" x14ac:dyDescent="0.2">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row>
    <row r="181" spans="1:24" hidden="1" x14ac:dyDescent="0.2">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row>
    <row r="182" spans="1:24" hidden="1" x14ac:dyDescent="0.2">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row>
    <row r="183" spans="1:24" hidden="1" x14ac:dyDescent="0.2">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row>
    <row r="184" spans="1:24" hidden="1" x14ac:dyDescent="0.2">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row>
    <row r="185" spans="1:24" hidden="1" x14ac:dyDescent="0.2">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row>
    <row r="186" spans="1:24" hidden="1" x14ac:dyDescent="0.2">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row>
    <row r="187" spans="1:24" hidden="1" x14ac:dyDescent="0.2">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row>
    <row r="188" spans="1:24" hidden="1" x14ac:dyDescent="0.2">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row>
    <row r="189" spans="1:24" hidden="1" x14ac:dyDescent="0.2">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row>
    <row r="190" spans="1:24" hidden="1" x14ac:dyDescent="0.2">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row>
    <row r="191" spans="1:24" hidden="1" x14ac:dyDescent="0.2">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row>
    <row r="192" spans="1:24" hidden="1" x14ac:dyDescent="0.2">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row>
    <row r="193" spans="1:24" hidden="1" x14ac:dyDescent="0.2">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row>
    <row r="194" spans="1:24" hidden="1" x14ac:dyDescent="0.2">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row>
    <row r="195" spans="1:24" hidden="1" x14ac:dyDescent="0.2">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row>
    <row r="196" spans="1:24" hidden="1" x14ac:dyDescent="0.2">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row>
    <row r="197" spans="1:24" hidden="1" x14ac:dyDescent="0.2">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row>
    <row r="198" spans="1:24" hidden="1" x14ac:dyDescent="0.2">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row>
    <row r="199" spans="1:24" hidden="1" x14ac:dyDescent="0.2">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row>
    <row r="200" spans="1:24" hidden="1" x14ac:dyDescent="0.2">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row>
    <row r="201" spans="1:24" hidden="1" x14ac:dyDescent="0.2">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row>
    <row r="202" spans="1:24" hidden="1" x14ac:dyDescent="0.2">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row>
    <row r="203" spans="1:24" hidden="1" x14ac:dyDescent="0.2">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row>
    <row r="204" spans="1:24" hidden="1" x14ac:dyDescent="0.2">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row>
    <row r="205" spans="1:24" hidden="1" x14ac:dyDescent="0.2">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row>
    <row r="206" spans="1:24" hidden="1" x14ac:dyDescent="0.2">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row>
    <row r="207" spans="1:24" hidden="1" x14ac:dyDescent="0.2">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row>
    <row r="208" spans="1:24" hidden="1" x14ac:dyDescent="0.2">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row>
    <row r="209" spans="1:24" hidden="1" x14ac:dyDescent="0.2">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row>
    <row r="210" spans="1:24" hidden="1" x14ac:dyDescent="0.2">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row>
    <row r="211" spans="1:24" hidden="1" x14ac:dyDescent="0.2">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row>
    <row r="212" spans="1:24" hidden="1" x14ac:dyDescent="0.2">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row>
    <row r="213" spans="1:24" hidden="1" x14ac:dyDescent="0.2">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row>
    <row r="214" spans="1:24" hidden="1" x14ac:dyDescent="0.2">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row>
    <row r="215" spans="1:24" hidden="1" x14ac:dyDescent="0.2">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row>
    <row r="216" spans="1:24" hidden="1" x14ac:dyDescent="0.2">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row>
    <row r="217" spans="1:24" hidden="1" x14ac:dyDescent="0.2">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row>
    <row r="218" spans="1:24" hidden="1" x14ac:dyDescent="0.2">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row>
    <row r="219" spans="1:24" hidden="1" x14ac:dyDescent="0.2">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row>
    <row r="220" spans="1:24" hidden="1" x14ac:dyDescent="0.2">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row>
    <row r="221" spans="1:24" hidden="1" x14ac:dyDescent="0.2">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row>
    <row r="222" spans="1:24" hidden="1" x14ac:dyDescent="0.2">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row>
    <row r="223" spans="1:24" hidden="1" x14ac:dyDescent="0.2">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row>
    <row r="224" spans="1:24" hidden="1" x14ac:dyDescent="0.2">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row>
    <row r="225" spans="1:24" hidden="1" x14ac:dyDescent="0.2">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row>
    <row r="226" spans="1:24" hidden="1" x14ac:dyDescent="0.2">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row>
    <row r="227" spans="1:24" hidden="1" x14ac:dyDescent="0.2">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row>
    <row r="228" spans="1:24" hidden="1" x14ac:dyDescent="0.2">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row>
    <row r="229" spans="1:24" hidden="1" x14ac:dyDescent="0.2">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row>
    <row r="230" spans="1:24" hidden="1" x14ac:dyDescent="0.2">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row>
    <row r="231" spans="1:24" hidden="1" x14ac:dyDescent="0.2">
      <c r="A231" s="527"/>
      <c r="B231" s="527"/>
      <c r="C231" s="527"/>
      <c r="D231" s="527"/>
      <c r="E231" s="527"/>
      <c r="F231" s="527"/>
      <c r="G231" s="527"/>
      <c r="H231" s="527"/>
      <c r="I231" s="527"/>
      <c r="J231" s="527"/>
      <c r="K231" s="527"/>
      <c r="L231" s="527"/>
      <c r="M231" s="527"/>
      <c r="N231" s="527"/>
      <c r="O231" s="527"/>
      <c r="P231" s="527"/>
      <c r="Q231" s="527"/>
      <c r="R231" s="527"/>
      <c r="S231" s="527"/>
      <c r="T231" s="527"/>
      <c r="U231" s="527"/>
      <c r="V231" s="527"/>
      <c r="W231" s="527"/>
      <c r="X231" s="527"/>
    </row>
    <row r="232" spans="1:24" hidden="1" x14ac:dyDescent="0.2">
      <c r="A232" s="527"/>
      <c r="B232" s="527"/>
      <c r="C232" s="527"/>
      <c r="D232" s="527"/>
      <c r="E232" s="527"/>
      <c r="F232" s="527"/>
      <c r="G232" s="527"/>
      <c r="H232" s="527"/>
      <c r="I232" s="527"/>
      <c r="J232" s="527"/>
      <c r="K232" s="527"/>
      <c r="L232" s="527"/>
      <c r="M232" s="527"/>
      <c r="N232" s="527"/>
      <c r="O232" s="527"/>
      <c r="P232" s="527"/>
      <c r="Q232" s="527"/>
      <c r="R232" s="527"/>
      <c r="S232" s="527"/>
      <c r="T232" s="527"/>
      <c r="U232" s="527"/>
      <c r="V232" s="527"/>
      <c r="W232" s="527"/>
      <c r="X232" s="527"/>
    </row>
    <row r="233" spans="1:24" hidden="1" x14ac:dyDescent="0.2">
      <c r="A233" s="527"/>
      <c r="B233" s="527"/>
      <c r="C233" s="527"/>
      <c r="D233" s="527"/>
      <c r="E233" s="527"/>
      <c r="F233" s="527"/>
      <c r="G233" s="527"/>
      <c r="H233" s="527"/>
      <c r="I233" s="527"/>
      <c r="J233" s="527"/>
      <c r="K233" s="527"/>
      <c r="L233" s="527"/>
      <c r="M233" s="527"/>
      <c r="N233" s="527"/>
      <c r="O233" s="527"/>
      <c r="P233" s="527"/>
      <c r="Q233" s="527"/>
      <c r="R233" s="527"/>
      <c r="S233" s="527"/>
      <c r="T233" s="527"/>
      <c r="U233" s="527"/>
      <c r="V233" s="527"/>
      <c r="W233" s="527"/>
      <c r="X233" s="527"/>
    </row>
    <row r="234" spans="1:24" hidden="1" x14ac:dyDescent="0.2">
      <c r="A234" s="527"/>
      <c r="B234" s="527"/>
      <c r="C234" s="527"/>
      <c r="D234" s="527"/>
      <c r="E234" s="527"/>
      <c r="F234" s="527"/>
      <c r="G234" s="527"/>
      <c r="H234" s="527"/>
      <c r="I234" s="527"/>
      <c r="J234" s="527"/>
      <c r="K234" s="527"/>
      <c r="L234" s="527"/>
      <c r="M234" s="527"/>
      <c r="N234" s="527"/>
      <c r="O234" s="527"/>
      <c r="P234" s="527"/>
      <c r="Q234" s="527"/>
      <c r="R234" s="527"/>
      <c r="S234" s="527"/>
      <c r="T234" s="527"/>
      <c r="U234" s="527"/>
      <c r="V234" s="527"/>
      <c r="W234" s="527"/>
      <c r="X234" s="527"/>
    </row>
    <row r="235" spans="1:24" hidden="1" x14ac:dyDescent="0.2">
      <c r="A235" s="527"/>
      <c r="B235" s="527"/>
      <c r="C235" s="527"/>
      <c r="D235" s="527"/>
      <c r="E235" s="527"/>
      <c r="F235" s="527"/>
      <c r="G235" s="527"/>
      <c r="H235" s="527"/>
      <c r="I235" s="527"/>
      <c r="J235" s="527"/>
      <c r="K235" s="527"/>
      <c r="L235" s="527"/>
      <c r="M235" s="527"/>
      <c r="N235" s="527"/>
      <c r="O235" s="527"/>
      <c r="P235" s="527"/>
      <c r="Q235" s="527"/>
      <c r="R235" s="527"/>
      <c r="S235" s="527"/>
      <c r="T235" s="527"/>
      <c r="U235" s="527"/>
      <c r="V235" s="527"/>
      <c r="W235" s="527"/>
      <c r="X235" s="527"/>
    </row>
    <row r="236" spans="1:24" hidden="1" x14ac:dyDescent="0.2">
      <c r="A236" s="527"/>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row>
    <row r="237" spans="1:24" hidden="1" x14ac:dyDescent="0.2">
      <c r="A237" s="527"/>
      <c r="B237" s="527"/>
      <c r="C237" s="527"/>
      <c r="D237" s="527"/>
      <c r="E237" s="527"/>
      <c r="F237" s="527"/>
      <c r="G237" s="527"/>
      <c r="H237" s="527"/>
      <c r="I237" s="527"/>
      <c r="J237" s="527"/>
      <c r="K237" s="527"/>
      <c r="L237" s="527"/>
      <c r="M237" s="527"/>
      <c r="N237" s="527"/>
      <c r="O237" s="527"/>
      <c r="P237" s="527"/>
      <c r="Q237" s="527"/>
      <c r="R237" s="527"/>
      <c r="S237" s="527"/>
      <c r="T237" s="527"/>
      <c r="U237" s="527"/>
      <c r="V237" s="527"/>
      <c r="W237" s="527"/>
      <c r="X237" s="527"/>
    </row>
    <row r="238" spans="1:24" hidden="1" x14ac:dyDescent="0.2">
      <c r="A238" s="527"/>
      <c r="B238" s="527"/>
      <c r="C238" s="527"/>
      <c r="D238" s="527"/>
      <c r="E238" s="527"/>
      <c r="F238" s="527"/>
      <c r="G238" s="527"/>
      <c r="H238" s="527"/>
      <c r="I238" s="527"/>
      <c r="J238" s="527"/>
      <c r="K238" s="527"/>
      <c r="L238" s="527"/>
      <c r="M238" s="527"/>
      <c r="N238" s="527"/>
      <c r="O238" s="527"/>
      <c r="P238" s="527"/>
      <c r="Q238" s="527"/>
      <c r="R238" s="527"/>
      <c r="S238" s="527"/>
      <c r="T238" s="527"/>
      <c r="U238" s="527"/>
      <c r="V238" s="527"/>
      <c r="W238" s="527"/>
      <c r="X238" s="527"/>
    </row>
    <row r="239" spans="1:24" hidden="1" x14ac:dyDescent="0.2">
      <c r="A239" s="527"/>
      <c r="B239" s="527"/>
      <c r="C239" s="527"/>
      <c r="D239" s="527"/>
      <c r="E239" s="527"/>
      <c r="F239" s="527"/>
      <c r="G239" s="527"/>
      <c r="H239" s="527"/>
      <c r="I239" s="527"/>
      <c r="J239" s="527"/>
      <c r="K239" s="527"/>
      <c r="L239" s="527"/>
      <c r="M239" s="527"/>
      <c r="N239" s="527"/>
      <c r="O239" s="527"/>
      <c r="P239" s="527"/>
      <c r="Q239" s="527"/>
      <c r="R239" s="527"/>
      <c r="S239" s="527"/>
      <c r="T239" s="527"/>
      <c r="U239" s="527"/>
      <c r="V239" s="527"/>
      <c r="W239" s="527"/>
      <c r="X239" s="527"/>
    </row>
    <row r="240" spans="1:24" hidden="1" x14ac:dyDescent="0.2">
      <c r="A240" s="527"/>
      <c r="B240" s="527"/>
      <c r="C240" s="527"/>
      <c r="D240" s="527"/>
      <c r="E240" s="527"/>
      <c r="F240" s="527"/>
      <c r="G240" s="527"/>
      <c r="H240" s="527"/>
      <c r="I240" s="527"/>
      <c r="J240" s="527"/>
      <c r="K240" s="527"/>
      <c r="L240" s="527"/>
      <c r="M240" s="527"/>
      <c r="N240" s="527"/>
      <c r="O240" s="527"/>
      <c r="P240" s="527"/>
      <c r="Q240" s="527"/>
      <c r="R240" s="527"/>
      <c r="S240" s="527"/>
      <c r="T240" s="527"/>
      <c r="U240" s="527"/>
      <c r="V240" s="527"/>
      <c r="W240" s="527"/>
      <c r="X240" s="527"/>
    </row>
    <row r="241" spans="1:24" hidden="1" x14ac:dyDescent="0.2">
      <c r="A241" s="527"/>
      <c r="B241" s="527"/>
      <c r="C241" s="527"/>
      <c r="D241" s="527"/>
      <c r="E241" s="527"/>
      <c r="F241" s="527"/>
      <c r="G241" s="527"/>
      <c r="H241" s="527"/>
      <c r="I241" s="527"/>
      <c r="J241" s="527"/>
      <c r="K241" s="527"/>
      <c r="L241" s="527"/>
      <c r="M241" s="527"/>
      <c r="N241" s="527"/>
      <c r="O241" s="527"/>
      <c r="P241" s="527"/>
      <c r="Q241" s="527"/>
      <c r="R241" s="527"/>
      <c r="S241" s="527"/>
      <c r="T241" s="527"/>
      <c r="U241" s="527"/>
      <c r="V241" s="527"/>
      <c r="W241" s="527"/>
      <c r="X241" s="527"/>
    </row>
    <row r="242" spans="1:24" hidden="1" x14ac:dyDescent="0.2">
      <c r="A242" s="527"/>
      <c r="B242" s="527"/>
      <c r="C242" s="527"/>
      <c r="D242" s="527"/>
      <c r="E242" s="527"/>
      <c r="F242" s="527"/>
      <c r="G242" s="527"/>
      <c r="H242" s="527"/>
      <c r="I242" s="527"/>
      <c r="J242" s="527"/>
      <c r="K242" s="527"/>
      <c r="L242" s="527"/>
      <c r="M242" s="527"/>
      <c r="N242" s="527"/>
      <c r="O242" s="527"/>
      <c r="P242" s="527"/>
      <c r="Q242" s="527"/>
      <c r="R242" s="527"/>
      <c r="S242" s="527"/>
      <c r="T242" s="527"/>
      <c r="U242" s="527"/>
      <c r="V242" s="527"/>
      <c r="W242" s="527"/>
      <c r="X242" s="527"/>
    </row>
    <row r="243" spans="1:24" hidden="1" x14ac:dyDescent="0.2">
      <c r="A243" s="527"/>
      <c r="B243" s="527"/>
      <c r="C243" s="527"/>
      <c r="D243" s="527"/>
      <c r="E243" s="527"/>
      <c r="F243" s="527"/>
      <c r="G243" s="527"/>
      <c r="H243" s="527"/>
      <c r="I243" s="527"/>
      <c r="J243" s="527"/>
      <c r="K243" s="527"/>
      <c r="L243" s="527"/>
      <c r="M243" s="527"/>
      <c r="N243" s="527"/>
      <c r="O243" s="527"/>
      <c r="P243" s="527"/>
      <c r="Q243" s="527"/>
      <c r="R243" s="527"/>
      <c r="S243" s="527"/>
      <c r="T243" s="527"/>
      <c r="U243" s="527"/>
      <c r="V243" s="527"/>
      <c r="W243" s="527"/>
      <c r="X243" s="527"/>
    </row>
    <row r="244" spans="1:24" hidden="1" x14ac:dyDescent="0.2">
      <c r="A244" s="527"/>
      <c r="B244" s="527"/>
      <c r="C244" s="527"/>
      <c r="D244" s="527"/>
      <c r="E244" s="527"/>
      <c r="F244" s="527"/>
      <c r="G244" s="527"/>
      <c r="H244" s="527"/>
      <c r="I244" s="527"/>
      <c r="J244" s="527"/>
      <c r="K244" s="527"/>
      <c r="L244" s="527"/>
      <c r="M244" s="527"/>
      <c r="N244" s="527"/>
      <c r="O244" s="527"/>
      <c r="P244" s="527"/>
      <c r="Q244" s="527"/>
      <c r="R244" s="527"/>
      <c r="S244" s="527"/>
      <c r="T244" s="527"/>
      <c r="U244" s="527"/>
      <c r="V244" s="527"/>
      <c r="W244" s="527"/>
      <c r="X244" s="527"/>
    </row>
    <row r="245" spans="1:24" hidden="1" x14ac:dyDescent="0.2">
      <c r="A245" s="527"/>
      <c r="B245" s="527"/>
      <c r="C245" s="527"/>
      <c r="D245" s="527"/>
      <c r="E245" s="527"/>
      <c r="F245" s="527"/>
      <c r="G245" s="527"/>
      <c r="H245" s="527"/>
      <c r="I245" s="527"/>
      <c r="J245" s="527"/>
      <c r="K245" s="527"/>
      <c r="L245" s="527"/>
      <c r="M245" s="527"/>
      <c r="N245" s="527"/>
      <c r="O245" s="527"/>
      <c r="P245" s="527"/>
      <c r="Q245" s="527"/>
      <c r="R245" s="527"/>
      <c r="S245" s="527"/>
      <c r="T245" s="527"/>
      <c r="U245" s="527"/>
      <c r="V245" s="527"/>
      <c r="W245" s="527"/>
      <c r="X245" s="527"/>
    </row>
    <row r="246" spans="1:24" hidden="1" x14ac:dyDescent="0.2">
      <c r="A246" s="527"/>
      <c r="B246" s="527"/>
      <c r="C246" s="527"/>
      <c r="D246" s="527"/>
      <c r="E246" s="527"/>
      <c r="F246" s="527"/>
      <c r="G246" s="527"/>
      <c r="H246" s="527"/>
      <c r="I246" s="527"/>
      <c r="J246" s="527"/>
      <c r="K246" s="527"/>
      <c r="L246" s="527"/>
      <c r="M246" s="527"/>
      <c r="N246" s="527"/>
      <c r="O246" s="527"/>
      <c r="P246" s="527"/>
      <c r="Q246" s="527"/>
      <c r="R246" s="527"/>
      <c r="S246" s="527"/>
      <c r="T246" s="527"/>
      <c r="U246" s="527"/>
      <c r="V246" s="527"/>
      <c r="W246" s="527"/>
      <c r="X246" s="527"/>
    </row>
    <row r="247" spans="1:24" hidden="1" x14ac:dyDescent="0.2">
      <c r="A247" s="527"/>
      <c r="B247" s="527"/>
      <c r="C247" s="527"/>
      <c r="D247" s="527"/>
      <c r="E247" s="527"/>
      <c r="F247" s="527"/>
      <c r="G247" s="527"/>
      <c r="H247" s="527"/>
      <c r="I247" s="527"/>
      <c r="J247" s="527"/>
      <c r="K247" s="527"/>
      <c r="L247" s="527"/>
      <c r="M247" s="527"/>
      <c r="N247" s="527"/>
      <c r="O247" s="527"/>
      <c r="P247" s="527"/>
      <c r="Q247" s="527"/>
      <c r="R247" s="527"/>
      <c r="S247" s="527"/>
      <c r="T247" s="527"/>
      <c r="U247" s="527"/>
      <c r="V247" s="527"/>
      <c r="W247" s="527"/>
      <c r="X247" s="527"/>
    </row>
    <row r="248" spans="1:24" hidden="1" x14ac:dyDescent="0.2">
      <c r="A248" s="527"/>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row>
    <row r="249" spans="1:24" hidden="1" x14ac:dyDescent="0.2">
      <c r="A249" s="527"/>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row>
    <row r="250" spans="1:24" hidden="1" x14ac:dyDescent="0.2">
      <c r="A250" s="527"/>
      <c r="B250" s="527"/>
      <c r="C250" s="527"/>
      <c r="D250" s="527"/>
      <c r="E250" s="527"/>
      <c r="F250" s="527"/>
      <c r="G250" s="527"/>
      <c r="H250" s="527"/>
      <c r="I250" s="527"/>
      <c r="J250" s="527"/>
      <c r="K250" s="527"/>
      <c r="L250" s="527"/>
      <c r="M250" s="527"/>
      <c r="N250" s="527"/>
      <c r="O250" s="527"/>
      <c r="P250" s="527"/>
      <c r="Q250" s="527"/>
      <c r="R250" s="527"/>
      <c r="S250" s="527"/>
      <c r="T250" s="527"/>
      <c r="U250" s="527"/>
      <c r="V250" s="527"/>
      <c r="W250" s="527"/>
      <c r="X250" s="527"/>
    </row>
    <row r="251" spans="1:24" hidden="1" x14ac:dyDescent="0.2">
      <c r="A251" s="527"/>
      <c r="B251" s="527"/>
      <c r="C251" s="527"/>
      <c r="D251" s="527"/>
      <c r="E251" s="527"/>
      <c r="F251" s="527"/>
      <c r="G251" s="527"/>
      <c r="H251" s="527"/>
      <c r="I251" s="527"/>
      <c r="J251" s="527"/>
      <c r="K251" s="527"/>
      <c r="L251" s="527"/>
      <c r="M251" s="527"/>
      <c r="N251" s="527"/>
      <c r="O251" s="527"/>
      <c r="P251" s="527"/>
      <c r="Q251" s="527"/>
      <c r="R251" s="527"/>
      <c r="S251" s="527"/>
      <c r="T251" s="527"/>
      <c r="U251" s="527"/>
      <c r="V251" s="527"/>
      <c r="W251" s="527"/>
      <c r="X251" s="527"/>
    </row>
    <row r="252" spans="1:24" hidden="1" x14ac:dyDescent="0.2">
      <c r="A252" s="527"/>
      <c r="B252" s="527"/>
      <c r="C252" s="527"/>
      <c r="D252" s="527"/>
      <c r="E252" s="527"/>
      <c r="F252" s="527"/>
      <c r="G252" s="527"/>
      <c r="H252" s="527"/>
      <c r="I252" s="527"/>
      <c r="J252" s="527"/>
      <c r="K252" s="527"/>
      <c r="L252" s="527"/>
      <c r="M252" s="527"/>
      <c r="N252" s="527"/>
      <c r="O252" s="527"/>
      <c r="P252" s="527"/>
      <c r="Q252" s="527"/>
      <c r="R252" s="527"/>
      <c r="S252" s="527"/>
      <c r="T252" s="527"/>
      <c r="U252" s="527"/>
      <c r="V252" s="527"/>
      <c r="W252" s="527"/>
      <c r="X252" s="527"/>
    </row>
    <row r="253" spans="1:24" hidden="1" x14ac:dyDescent="0.2">
      <c r="A253" s="527"/>
      <c r="B253" s="527"/>
      <c r="C253" s="527"/>
      <c r="D253" s="527"/>
      <c r="E253" s="527"/>
      <c r="F253" s="527"/>
      <c r="G253" s="527"/>
      <c r="H253" s="527"/>
      <c r="I253" s="527"/>
      <c r="J253" s="527"/>
      <c r="K253" s="527"/>
      <c r="L253" s="527"/>
      <c r="M253" s="527"/>
      <c r="N253" s="527"/>
      <c r="O253" s="527"/>
      <c r="P253" s="527"/>
      <c r="Q253" s="527"/>
      <c r="R253" s="527"/>
      <c r="S253" s="527"/>
      <c r="T253" s="527"/>
      <c r="U253" s="527"/>
      <c r="V253" s="527"/>
      <c r="W253" s="527"/>
      <c r="X253" s="527"/>
    </row>
    <row r="254" spans="1:24" hidden="1" x14ac:dyDescent="0.2">
      <c r="A254" s="527"/>
      <c r="B254" s="527"/>
      <c r="C254" s="527"/>
      <c r="D254" s="527"/>
      <c r="E254" s="527"/>
      <c r="F254" s="527"/>
      <c r="G254" s="527"/>
      <c r="H254" s="527"/>
      <c r="I254" s="527"/>
      <c r="J254" s="527"/>
      <c r="K254" s="527"/>
      <c r="L254" s="527"/>
      <c r="M254" s="527"/>
      <c r="N254" s="527"/>
      <c r="O254" s="527"/>
      <c r="P254" s="527"/>
      <c r="Q254" s="527"/>
      <c r="R254" s="527"/>
      <c r="S254" s="527"/>
      <c r="T254" s="527"/>
      <c r="U254" s="527"/>
      <c r="V254" s="527"/>
      <c r="W254" s="527"/>
      <c r="X254" s="527"/>
    </row>
    <row r="255" spans="1:24" hidden="1" x14ac:dyDescent="0.2">
      <c r="A255" s="527"/>
      <c r="B255" s="527"/>
      <c r="C255" s="527"/>
      <c r="D255" s="527"/>
      <c r="E255" s="527"/>
      <c r="F255" s="527"/>
      <c r="G255" s="527"/>
      <c r="H255" s="527"/>
      <c r="I255" s="527"/>
      <c r="J255" s="527"/>
      <c r="K255" s="527"/>
      <c r="L255" s="527"/>
      <c r="M255" s="527"/>
      <c r="N255" s="527"/>
      <c r="O255" s="527"/>
      <c r="P255" s="527"/>
      <c r="Q255" s="527"/>
      <c r="R255" s="527"/>
      <c r="S255" s="527"/>
      <c r="T255" s="527"/>
      <c r="U255" s="527"/>
      <c r="V255" s="527"/>
      <c r="W255" s="527"/>
      <c r="X255" s="527"/>
    </row>
    <row r="256" spans="1:24" hidden="1" x14ac:dyDescent="0.2">
      <c r="A256" s="527"/>
      <c r="B256" s="527"/>
      <c r="C256" s="527"/>
      <c r="D256" s="527"/>
      <c r="E256" s="527"/>
      <c r="F256" s="527"/>
      <c r="G256" s="527"/>
      <c r="H256" s="527"/>
      <c r="I256" s="527"/>
      <c r="J256" s="527"/>
      <c r="K256" s="527"/>
      <c r="L256" s="527"/>
      <c r="M256" s="527"/>
      <c r="N256" s="527"/>
      <c r="O256" s="527"/>
      <c r="P256" s="527"/>
      <c r="Q256" s="527"/>
      <c r="R256" s="527"/>
      <c r="S256" s="527"/>
      <c r="T256" s="527"/>
      <c r="U256" s="527"/>
      <c r="V256" s="527"/>
      <c r="W256" s="527"/>
      <c r="X256" s="527"/>
    </row>
    <row r="257" spans="1:24" hidden="1" x14ac:dyDescent="0.2">
      <c r="A257" s="527"/>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row>
    <row r="258" spans="1:24" hidden="1" x14ac:dyDescent="0.2">
      <c r="A258" s="527"/>
      <c r="B258" s="527"/>
      <c r="C258" s="527"/>
      <c r="D258" s="527"/>
      <c r="E258" s="527"/>
      <c r="F258" s="527"/>
      <c r="G258" s="527"/>
      <c r="H258" s="527"/>
      <c r="I258" s="527"/>
      <c r="J258" s="527"/>
      <c r="K258" s="527"/>
      <c r="L258" s="527"/>
      <c r="M258" s="527"/>
      <c r="N258" s="527"/>
      <c r="O258" s="527"/>
      <c r="P258" s="527"/>
      <c r="Q258" s="527"/>
      <c r="R258" s="527"/>
      <c r="S258" s="527"/>
      <c r="T258" s="527"/>
      <c r="U258" s="527"/>
      <c r="V258" s="527"/>
      <c r="W258" s="527"/>
      <c r="X258" s="527"/>
    </row>
    <row r="259" spans="1:24" hidden="1" x14ac:dyDescent="0.2">
      <c r="A259" s="527"/>
      <c r="B259" s="527"/>
      <c r="C259" s="527"/>
      <c r="D259" s="527"/>
      <c r="E259" s="527"/>
      <c r="F259" s="527"/>
      <c r="G259" s="527"/>
      <c r="H259" s="527"/>
      <c r="I259" s="527"/>
      <c r="J259" s="527"/>
      <c r="K259" s="527"/>
      <c r="L259" s="527"/>
      <c r="M259" s="527"/>
      <c r="N259" s="527"/>
      <c r="O259" s="527"/>
      <c r="P259" s="527"/>
      <c r="Q259" s="527"/>
      <c r="R259" s="527"/>
      <c r="S259" s="527"/>
      <c r="T259" s="527"/>
      <c r="U259" s="527"/>
      <c r="V259" s="527"/>
      <c r="W259" s="527"/>
      <c r="X259" s="527"/>
    </row>
    <row r="260" spans="1:24" hidden="1" x14ac:dyDescent="0.2">
      <c r="A260" s="527"/>
      <c r="B260" s="527"/>
      <c r="C260" s="527"/>
      <c r="D260" s="527"/>
      <c r="E260" s="527"/>
      <c r="F260" s="527"/>
      <c r="G260" s="527"/>
      <c r="H260" s="527"/>
      <c r="I260" s="527"/>
      <c r="J260" s="527"/>
      <c r="K260" s="527"/>
      <c r="L260" s="527"/>
      <c r="M260" s="527"/>
      <c r="N260" s="527"/>
      <c r="O260" s="527"/>
      <c r="P260" s="527"/>
      <c r="Q260" s="527"/>
      <c r="R260" s="527"/>
      <c r="S260" s="527"/>
      <c r="T260" s="527"/>
      <c r="U260" s="527"/>
      <c r="V260" s="527"/>
      <c r="W260" s="527"/>
      <c r="X260" s="527"/>
    </row>
    <row r="261" spans="1:24" hidden="1" x14ac:dyDescent="0.2">
      <c r="A261" s="527"/>
      <c r="B261" s="527"/>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527"/>
    </row>
    <row r="262" spans="1:24" hidden="1" x14ac:dyDescent="0.2">
      <c r="A262" s="527"/>
      <c r="B262" s="527"/>
      <c r="C262" s="527"/>
      <c r="D262" s="527"/>
      <c r="E262" s="527"/>
      <c r="F262" s="527"/>
      <c r="G262" s="527"/>
      <c r="H262" s="527"/>
      <c r="I262" s="527"/>
      <c r="J262" s="527"/>
      <c r="K262" s="527"/>
      <c r="L262" s="527"/>
      <c r="M262" s="527"/>
      <c r="N262" s="527"/>
      <c r="O262" s="527"/>
      <c r="P262" s="527"/>
      <c r="Q262" s="527"/>
      <c r="R262" s="527"/>
      <c r="S262" s="527"/>
      <c r="T262" s="527"/>
      <c r="U262" s="527"/>
      <c r="V262" s="527"/>
      <c r="W262" s="527"/>
      <c r="X262" s="527"/>
    </row>
    <row r="263" spans="1:24" hidden="1" x14ac:dyDescent="0.2">
      <c r="A263" s="527"/>
      <c r="B263" s="527"/>
      <c r="C263" s="527"/>
      <c r="D263" s="527"/>
      <c r="E263" s="527"/>
      <c r="F263" s="527"/>
      <c r="G263" s="527"/>
      <c r="H263" s="527"/>
      <c r="I263" s="527"/>
      <c r="J263" s="527"/>
      <c r="K263" s="527"/>
      <c r="L263" s="527"/>
      <c r="M263" s="527"/>
      <c r="N263" s="527"/>
      <c r="O263" s="527"/>
      <c r="P263" s="527"/>
      <c r="Q263" s="527"/>
      <c r="R263" s="527"/>
      <c r="S263" s="527"/>
      <c r="T263" s="527"/>
      <c r="U263" s="527"/>
      <c r="V263" s="527"/>
      <c r="W263" s="527"/>
      <c r="X263" s="527"/>
    </row>
    <row r="264" spans="1:24" hidden="1" x14ac:dyDescent="0.2">
      <c r="A264" s="527"/>
      <c r="B264" s="527"/>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row>
    <row r="265" spans="1:24" hidden="1" x14ac:dyDescent="0.2">
      <c r="A265" s="527"/>
      <c r="B265" s="527"/>
      <c r="C265" s="527"/>
      <c r="D265" s="527"/>
      <c r="E265" s="527"/>
      <c r="F265" s="527"/>
      <c r="G265" s="527"/>
      <c r="H265" s="527"/>
      <c r="I265" s="527"/>
      <c r="J265" s="527"/>
      <c r="K265" s="527"/>
      <c r="L265" s="527"/>
      <c r="M265" s="527"/>
      <c r="N265" s="527"/>
      <c r="O265" s="527"/>
      <c r="P265" s="527"/>
      <c r="Q265" s="527"/>
      <c r="R265" s="527"/>
      <c r="S265" s="527"/>
      <c r="T265" s="527"/>
      <c r="U265" s="527"/>
      <c r="V265" s="527"/>
      <c r="W265" s="527"/>
      <c r="X265" s="527"/>
    </row>
    <row r="266" spans="1:24" hidden="1" x14ac:dyDescent="0.2">
      <c r="A266" s="527"/>
      <c r="B266" s="527"/>
      <c r="C266" s="527"/>
      <c r="D266" s="527"/>
      <c r="E266" s="527"/>
      <c r="F266" s="527"/>
      <c r="G266" s="527"/>
      <c r="H266" s="527"/>
      <c r="I266" s="527"/>
      <c r="J266" s="527"/>
      <c r="K266" s="527"/>
      <c r="L266" s="527"/>
      <c r="M266" s="527"/>
      <c r="N266" s="527"/>
      <c r="O266" s="527"/>
      <c r="P266" s="527"/>
      <c r="Q266" s="527"/>
      <c r="R266" s="527"/>
      <c r="S266" s="527"/>
      <c r="T266" s="527"/>
      <c r="U266" s="527"/>
      <c r="V266" s="527"/>
      <c r="W266" s="527"/>
      <c r="X266" s="527"/>
    </row>
    <row r="267" spans="1:24" hidden="1" x14ac:dyDescent="0.2">
      <c r="A267" s="527"/>
      <c r="B267" s="527"/>
      <c r="C267" s="527"/>
      <c r="D267" s="527"/>
      <c r="E267" s="527"/>
      <c r="F267" s="527"/>
      <c r="G267" s="527"/>
      <c r="H267" s="527"/>
      <c r="I267" s="527"/>
      <c r="J267" s="527"/>
      <c r="K267" s="527"/>
      <c r="L267" s="527"/>
      <c r="M267" s="527"/>
      <c r="N267" s="527"/>
      <c r="O267" s="527"/>
      <c r="P267" s="527"/>
      <c r="Q267" s="527"/>
      <c r="R267" s="527"/>
      <c r="S267" s="527"/>
      <c r="T267" s="527"/>
      <c r="U267" s="527"/>
      <c r="V267" s="527"/>
      <c r="W267" s="527"/>
      <c r="X267" s="527"/>
    </row>
    <row r="268" spans="1:24" hidden="1" x14ac:dyDescent="0.2">
      <c r="A268" s="527"/>
      <c r="B268" s="527"/>
      <c r="C268" s="527"/>
      <c r="D268" s="527"/>
      <c r="E268" s="527"/>
      <c r="F268" s="527"/>
      <c r="G268" s="527"/>
      <c r="H268" s="527"/>
      <c r="I268" s="527"/>
      <c r="J268" s="527"/>
      <c r="K268" s="527"/>
      <c r="L268" s="527"/>
      <c r="M268" s="527"/>
      <c r="N268" s="527"/>
      <c r="O268" s="527"/>
      <c r="P268" s="527"/>
      <c r="Q268" s="527"/>
      <c r="R268" s="527"/>
      <c r="S268" s="527"/>
      <c r="T268" s="527"/>
      <c r="U268" s="527"/>
      <c r="V268" s="527"/>
      <c r="W268" s="527"/>
      <c r="X268" s="527"/>
    </row>
    <row r="269" spans="1:24" hidden="1" x14ac:dyDescent="0.2">
      <c r="A269" s="527"/>
      <c r="B269" s="527"/>
      <c r="C269" s="527"/>
      <c r="D269" s="527"/>
      <c r="E269" s="527"/>
      <c r="F269" s="527"/>
      <c r="G269" s="527"/>
      <c r="H269" s="527"/>
      <c r="I269" s="527"/>
      <c r="J269" s="527"/>
      <c r="K269" s="527"/>
      <c r="L269" s="527"/>
      <c r="M269" s="527"/>
      <c r="N269" s="527"/>
      <c r="O269" s="527"/>
      <c r="P269" s="527"/>
      <c r="Q269" s="527"/>
      <c r="R269" s="527"/>
      <c r="S269" s="527"/>
      <c r="T269" s="527"/>
      <c r="U269" s="527"/>
      <c r="V269" s="527"/>
      <c r="W269" s="527"/>
      <c r="X269" s="527"/>
    </row>
    <row r="270" spans="1:24" hidden="1" x14ac:dyDescent="0.2">
      <c r="A270" s="527"/>
      <c r="B270" s="527"/>
      <c r="C270" s="527"/>
      <c r="D270" s="527"/>
      <c r="E270" s="527"/>
      <c r="F270" s="527"/>
      <c r="G270" s="527"/>
      <c r="H270" s="527"/>
      <c r="I270" s="527"/>
      <c r="J270" s="527"/>
      <c r="K270" s="527"/>
      <c r="L270" s="527"/>
      <c r="M270" s="527"/>
      <c r="N270" s="527"/>
      <c r="O270" s="527"/>
      <c r="P270" s="527"/>
      <c r="Q270" s="527"/>
      <c r="R270" s="527"/>
      <c r="S270" s="527"/>
      <c r="T270" s="527"/>
      <c r="U270" s="527"/>
      <c r="V270" s="527"/>
      <c r="W270" s="527"/>
      <c r="X270" s="527"/>
    </row>
    <row r="271" spans="1:24" hidden="1" x14ac:dyDescent="0.2">
      <c r="A271" s="527"/>
      <c r="B271" s="527"/>
      <c r="C271" s="527"/>
      <c r="D271" s="527"/>
      <c r="E271" s="527"/>
      <c r="F271" s="527"/>
      <c r="G271" s="527"/>
      <c r="H271" s="527"/>
      <c r="I271" s="527"/>
      <c r="J271" s="527"/>
      <c r="K271" s="527"/>
      <c r="L271" s="527"/>
      <c r="M271" s="527"/>
      <c r="N271" s="527"/>
      <c r="O271" s="527"/>
      <c r="P271" s="527"/>
      <c r="Q271" s="527"/>
      <c r="R271" s="527"/>
      <c r="S271" s="527"/>
      <c r="T271" s="527"/>
      <c r="U271" s="527"/>
      <c r="V271" s="527"/>
      <c r="W271" s="527"/>
      <c r="X271" s="527"/>
    </row>
    <row r="272" spans="1:24" hidden="1" x14ac:dyDescent="0.2">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row>
    <row r="273" spans="1:24" hidden="1" x14ac:dyDescent="0.2">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row>
    <row r="274" spans="1:24" hidden="1" x14ac:dyDescent="0.2">
      <c r="A274" s="527"/>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row>
    <row r="275" spans="1:24" hidden="1" x14ac:dyDescent="0.2">
      <c r="A275" s="527"/>
      <c r="B275" s="527"/>
      <c r="C275" s="527"/>
      <c r="D275" s="527"/>
      <c r="E275" s="527"/>
      <c r="F275" s="527"/>
      <c r="G275" s="527"/>
      <c r="H275" s="527"/>
      <c r="I275" s="527"/>
      <c r="J275" s="527"/>
      <c r="K275" s="527"/>
      <c r="L275" s="527"/>
      <c r="M275" s="527"/>
      <c r="N275" s="527"/>
      <c r="O275" s="527"/>
      <c r="P275" s="527"/>
      <c r="Q275" s="527"/>
      <c r="R275" s="527"/>
      <c r="S275" s="527"/>
      <c r="T275" s="527"/>
      <c r="U275" s="527"/>
      <c r="V275" s="527"/>
      <c r="W275" s="527"/>
      <c r="X275" s="527"/>
    </row>
    <row r="276" spans="1:24" hidden="1" x14ac:dyDescent="0.2">
      <c r="A276" s="527"/>
      <c r="B276" s="527"/>
      <c r="C276" s="527"/>
      <c r="D276" s="527"/>
      <c r="E276" s="527"/>
      <c r="F276" s="527"/>
      <c r="G276" s="527"/>
      <c r="H276" s="527"/>
      <c r="I276" s="527"/>
      <c r="J276" s="527"/>
      <c r="K276" s="527"/>
      <c r="L276" s="527"/>
      <c r="M276" s="527"/>
      <c r="N276" s="527"/>
      <c r="O276" s="527"/>
      <c r="P276" s="527"/>
      <c r="Q276" s="527"/>
      <c r="R276" s="527"/>
      <c r="S276" s="527"/>
      <c r="T276" s="527"/>
      <c r="U276" s="527"/>
      <c r="V276" s="527"/>
      <c r="W276" s="527"/>
      <c r="X276" s="527"/>
    </row>
    <row r="277" spans="1:24" hidden="1" x14ac:dyDescent="0.2">
      <c r="A277" s="527"/>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row>
    <row r="278" spans="1:24" hidden="1" x14ac:dyDescent="0.2">
      <c r="A278" s="527"/>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row>
    <row r="279" spans="1:24" hidden="1" x14ac:dyDescent="0.2">
      <c r="A279" s="527"/>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row>
    <row r="280" spans="1:24" hidden="1" x14ac:dyDescent="0.2">
      <c r="A280" s="527"/>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row>
    <row r="281" spans="1:24" hidden="1" x14ac:dyDescent="0.2">
      <c r="A281" s="527"/>
      <c r="B281" s="527"/>
      <c r="C281" s="527"/>
      <c r="D281" s="527"/>
      <c r="E281" s="527"/>
      <c r="F281" s="527"/>
      <c r="G281" s="527"/>
      <c r="H281" s="527"/>
      <c r="I281" s="527"/>
      <c r="J281" s="527"/>
      <c r="K281" s="527"/>
      <c r="L281" s="527"/>
      <c r="M281" s="527"/>
      <c r="N281" s="527"/>
      <c r="O281" s="527"/>
      <c r="P281" s="527"/>
      <c r="Q281" s="527"/>
      <c r="R281" s="527"/>
      <c r="S281" s="527"/>
      <c r="T281" s="527"/>
      <c r="U281" s="527"/>
      <c r="V281" s="527"/>
      <c r="W281" s="527"/>
      <c r="X281" s="527"/>
    </row>
    <row r="282" spans="1:24" hidden="1" x14ac:dyDescent="0.2">
      <c r="A282" s="527"/>
      <c r="B282" s="527"/>
      <c r="C282" s="527"/>
      <c r="D282" s="527"/>
      <c r="E282" s="527"/>
      <c r="F282" s="527"/>
      <c r="G282" s="527"/>
      <c r="H282" s="527"/>
      <c r="I282" s="527"/>
      <c r="J282" s="527"/>
      <c r="K282" s="527"/>
      <c r="L282" s="527"/>
      <c r="M282" s="527"/>
      <c r="N282" s="527"/>
      <c r="O282" s="527"/>
      <c r="P282" s="527"/>
      <c r="Q282" s="527"/>
      <c r="R282" s="527"/>
      <c r="S282" s="527"/>
      <c r="T282" s="527"/>
      <c r="U282" s="527"/>
      <c r="V282" s="527"/>
      <c r="W282" s="527"/>
      <c r="X282" s="527"/>
    </row>
    <row r="283" spans="1:24" hidden="1" x14ac:dyDescent="0.2">
      <c r="A283" s="527"/>
      <c r="B283" s="527"/>
      <c r="C283" s="527"/>
      <c r="D283" s="527"/>
      <c r="E283" s="527"/>
      <c r="F283" s="527"/>
      <c r="G283" s="527"/>
      <c r="H283" s="527"/>
      <c r="I283" s="527"/>
      <c r="J283" s="527"/>
      <c r="K283" s="527"/>
      <c r="L283" s="527"/>
      <c r="M283" s="527"/>
      <c r="N283" s="527"/>
      <c r="O283" s="527"/>
      <c r="P283" s="527"/>
      <c r="Q283" s="527"/>
      <c r="R283" s="527"/>
      <c r="S283" s="527"/>
      <c r="T283" s="527"/>
      <c r="U283" s="527"/>
      <c r="V283" s="527"/>
      <c r="W283" s="527"/>
      <c r="X283" s="527"/>
    </row>
    <row r="284" spans="1:24" hidden="1" x14ac:dyDescent="0.2">
      <c r="A284" s="527"/>
      <c r="B284" s="527"/>
      <c r="C284" s="527"/>
      <c r="D284" s="527"/>
      <c r="E284" s="527"/>
      <c r="F284" s="527"/>
      <c r="G284" s="527"/>
      <c r="H284" s="527"/>
      <c r="I284" s="527"/>
      <c r="J284" s="527"/>
      <c r="K284" s="527"/>
      <c r="L284" s="527"/>
      <c r="M284" s="527"/>
      <c r="N284" s="527"/>
      <c r="O284" s="527"/>
      <c r="P284" s="527"/>
      <c r="Q284" s="527"/>
      <c r="R284" s="527"/>
      <c r="S284" s="527"/>
      <c r="T284" s="527"/>
      <c r="U284" s="527"/>
      <c r="V284" s="527"/>
      <c r="W284" s="527"/>
      <c r="X284" s="527"/>
    </row>
    <row r="285" spans="1:24" hidden="1" x14ac:dyDescent="0.2">
      <c r="A285" s="527"/>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row>
    <row r="286" spans="1:24" hidden="1" x14ac:dyDescent="0.2">
      <c r="A286" s="527"/>
      <c r="B286" s="527"/>
      <c r="C286" s="527"/>
      <c r="D286" s="527"/>
      <c r="E286" s="527"/>
      <c r="F286" s="527"/>
      <c r="G286" s="527"/>
      <c r="H286" s="527"/>
      <c r="I286" s="527"/>
      <c r="J286" s="527"/>
      <c r="K286" s="527"/>
      <c r="L286" s="527"/>
      <c r="M286" s="527"/>
      <c r="N286" s="527"/>
      <c r="O286" s="527"/>
      <c r="P286" s="527"/>
      <c r="Q286" s="527"/>
      <c r="R286" s="527"/>
      <c r="S286" s="527"/>
      <c r="T286" s="527"/>
      <c r="U286" s="527"/>
      <c r="V286" s="527"/>
      <c r="W286" s="527"/>
      <c r="X286" s="527"/>
    </row>
    <row r="287" spans="1:24" hidden="1" x14ac:dyDescent="0.2">
      <c r="A287" s="527"/>
      <c r="B287" s="527"/>
      <c r="C287" s="527"/>
      <c r="D287" s="527"/>
      <c r="E287" s="527"/>
      <c r="F287" s="527"/>
      <c r="G287" s="527"/>
      <c r="H287" s="527"/>
      <c r="I287" s="527"/>
      <c r="J287" s="527"/>
      <c r="K287" s="527"/>
      <c r="L287" s="527"/>
      <c r="M287" s="527"/>
      <c r="N287" s="527"/>
      <c r="O287" s="527"/>
      <c r="P287" s="527"/>
      <c r="Q287" s="527"/>
      <c r="R287" s="527"/>
      <c r="S287" s="527"/>
      <c r="T287" s="527"/>
      <c r="U287" s="527"/>
      <c r="V287" s="527"/>
      <c r="W287" s="527"/>
      <c r="X287" s="527"/>
    </row>
    <row r="288" spans="1:24" hidden="1" x14ac:dyDescent="0.2">
      <c r="A288" s="527"/>
      <c r="B288" s="527"/>
      <c r="C288" s="527"/>
      <c r="D288" s="527"/>
      <c r="E288" s="527"/>
      <c r="F288" s="527"/>
      <c r="G288" s="527"/>
      <c r="H288" s="527"/>
      <c r="I288" s="527"/>
      <c r="J288" s="527"/>
      <c r="K288" s="527"/>
      <c r="L288" s="527"/>
      <c r="M288" s="527"/>
      <c r="N288" s="527"/>
      <c r="O288" s="527"/>
      <c r="P288" s="527"/>
      <c r="Q288" s="527"/>
      <c r="R288" s="527"/>
      <c r="S288" s="527"/>
      <c r="T288" s="527"/>
      <c r="U288" s="527"/>
      <c r="V288" s="527"/>
      <c r="W288" s="527"/>
      <c r="X288" s="527"/>
    </row>
    <row r="289" spans="1:24" hidden="1" x14ac:dyDescent="0.2">
      <c r="A289" s="527"/>
      <c r="B289" s="527"/>
      <c r="C289" s="527"/>
      <c r="D289" s="527"/>
      <c r="E289" s="527"/>
      <c r="F289" s="527"/>
      <c r="G289" s="527"/>
      <c r="H289" s="527"/>
      <c r="I289" s="527"/>
      <c r="J289" s="527"/>
      <c r="K289" s="527"/>
      <c r="L289" s="527"/>
      <c r="M289" s="527"/>
      <c r="N289" s="527"/>
      <c r="O289" s="527"/>
      <c r="P289" s="527"/>
      <c r="Q289" s="527"/>
      <c r="R289" s="527"/>
      <c r="S289" s="527"/>
      <c r="T289" s="527"/>
      <c r="U289" s="527"/>
      <c r="V289" s="527"/>
      <c r="W289" s="527"/>
      <c r="X289" s="527"/>
    </row>
    <row r="290" spans="1:24" hidden="1" x14ac:dyDescent="0.2">
      <c r="A290" s="527"/>
      <c r="B290" s="527"/>
      <c r="C290" s="527"/>
      <c r="D290" s="527"/>
      <c r="E290" s="527"/>
      <c r="F290" s="527"/>
      <c r="G290" s="527"/>
      <c r="H290" s="527"/>
      <c r="I290" s="527"/>
      <c r="J290" s="527"/>
      <c r="K290" s="527"/>
      <c r="L290" s="527"/>
      <c r="M290" s="527"/>
      <c r="N290" s="527"/>
      <c r="O290" s="527"/>
      <c r="P290" s="527"/>
      <c r="Q290" s="527"/>
      <c r="R290" s="527"/>
      <c r="S290" s="527"/>
      <c r="T290" s="527"/>
      <c r="U290" s="527"/>
      <c r="V290" s="527"/>
      <c r="W290" s="527"/>
      <c r="X290" s="527"/>
    </row>
    <row r="291" spans="1:24" hidden="1" x14ac:dyDescent="0.2">
      <c r="A291" s="527"/>
      <c r="B291" s="527"/>
      <c r="C291" s="527"/>
      <c r="D291" s="527"/>
      <c r="E291" s="527"/>
      <c r="F291" s="527"/>
      <c r="G291" s="527"/>
      <c r="H291" s="527"/>
      <c r="I291" s="527"/>
      <c r="J291" s="527"/>
      <c r="K291" s="527"/>
      <c r="L291" s="527"/>
      <c r="M291" s="527"/>
      <c r="N291" s="527"/>
      <c r="O291" s="527"/>
      <c r="P291" s="527"/>
      <c r="Q291" s="527"/>
      <c r="R291" s="527"/>
      <c r="S291" s="527"/>
      <c r="T291" s="527"/>
      <c r="U291" s="527"/>
      <c r="V291" s="527"/>
      <c r="W291" s="527"/>
      <c r="X291" s="527"/>
    </row>
    <row r="292" spans="1:24" hidden="1" x14ac:dyDescent="0.2">
      <c r="A292" s="527"/>
      <c r="B292" s="527"/>
      <c r="C292" s="527"/>
      <c r="D292" s="527"/>
      <c r="E292" s="527"/>
      <c r="F292" s="527"/>
      <c r="G292" s="527"/>
      <c r="H292" s="527"/>
      <c r="I292" s="527"/>
      <c r="J292" s="527"/>
      <c r="K292" s="527"/>
      <c r="L292" s="527"/>
      <c r="M292" s="527"/>
      <c r="N292" s="527"/>
      <c r="O292" s="527"/>
      <c r="P292" s="527"/>
      <c r="Q292" s="527"/>
      <c r="R292" s="527"/>
      <c r="S292" s="527"/>
      <c r="T292" s="527"/>
      <c r="U292" s="527"/>
      <c r="V292" s="527"/>
      <c r="W292" s="527"/>
      <c r="X292" s="527"/>
    </row>
    <row r="293" spans="1:24" hidden="1" x14ac:dyDescent="0.2">
      <c r="A293" s="527"/>
      <c r="B293" s="527"/>
      <c r="C293" s="527"/>
      <c r="D293" s="527"/>
      <c r="E293" s="527"/>
      <c r="F293" s="527"/>
      <c r="G293" s="527"/>
      <c r="H293" s="527"/>
      <c r="I293" s="527"/>
      <c r="J293" s="527"/>
      <c r="K293" s="527"/>
      <c r="L293" s="527"/>
      <c r="M293" s="527"/>
      <c r="N293" s="527"/>
      <c r="O293" s="527"/>
      <c r="P293" s="527"/>
      <c r="Q293" s="527"/>
      <c r="R293" s="527"/>
      <c r="S293" s="527"/>
      <c r="T293" s="527"/>
      <c r="U293" s="527"/>
      <c r="V293" s="527"/>
      <c r="W293" s="527"/>
      <c r="X293" s="527"/>
    </row>
    <row r="294" spans="1:24" hidden="1" x14ac:dyDescent="0.2">
      <c r="A294" s="527"/>
      <c r="B294" s="527"/>
      <c r="C294" s="527"/>
      <c r="D294" s="527"/>
      <c r="E294" s="527"/>
      <c r="F294" s="527"/>
      <c r="G294" s="527"/>
      <c r="H294" s="527"/>
      <c r="I294" s="527"/>
      <c r="J294" s="527"/>
      <c r="K294" s="527"/>
      <c r="L294" s="527"/>
      <c r="M294" s="527"/>
      <c r="N294" s="527"/>
      <c r="O294" s="527"/>
      <c r="P294" s="527"/>
      <c r="Q294" s="527"/>
      <c r="R294" s="527"/>
      <c r="S294" s="527"/>
      <c r="T294" s="527"/>
      <c r="U294" s="527"/>
      <c r="V294" s="527"/>
      <c r="W294" s="527"/>
      <c r="X294" s="527"/>
    </row>
    <row r="295" spans="1:24" hidden="1" x14ac:dyDescent="0.2">
      <c r="E295" s="527"/>
      <c r="F295" s="527"/>
      <c r="G295" s="527"/>
      <c r="H295" s="527"/>
      <c r="I295" s="527"/>
      <c r="J295" s="527"/>
      <c r="K295" s="527"/>
      <c r="L295" s="527"/>
      <c r="M295" s="527"/>
      <c r="N295" s="527"/>
      <c r="O295" s="527"/>
      <c r="P295" s="527"/>
      <c r="Q295" s="527"/>
      <c r="R295" s="527"/>
      <c r="S295" s="527"/>
      <c r="T295" s="527"/>
      <c r="U295" s="527"/>
      <c r="V295" s="527"/>
      <c r="W295" s="527"/>
      <c r="X295" s="527"/>
    </row>
    <row r="296" spans="1:24" hidden="1" x14ac:dyDescent="0.2">
      <c r="E296" s="529"/>
      <c r="F296" s="529"/>
      <c r="G296" s="529"/>
      <c r="H296" s="529"/>
      <c r="I296" s="529"/>
      <c r="J296" s="529"/>
      <c r="K296" s="529"/>
      <c r="L296" s="529"/>
      <c r="M296" s="529"/>
      <c r="N296" s="527"/>
      <c r="O296" s="527"/>
      <c r="P296" s="527"/>
      <c r="Q296" s="527"/>
      <c r="R296" s="527"/>
      <c r="S296" s="527"/>
      <c r="T296" s="527"/>
      <c r="U296" s="527"/>
      <c r="V296" s="527"/>
      <c r="W296" s="527"/>
      <c r="X296" s="527"/>
    </row>
    <row r="297" spans="1:24" hidden="1" x14ac:dyDescent="0.2">
      <c r="E297" s="529"/>
      <c r="F297" s="529"/>
      <c r="G297" s="529"/>
      <c r="H297" s="529"/>
      <c r="I297" s="529"/>
      <c r="J297" s="529"/>
      <c r="K297" s="529"/>
      <c r="L297" s="529"/>
      <c r="M297" s="529"/>
      <c r="N297" s="527"/>
      <c r="O297" s="527"/>
      <c r="P297" s="527"/>
      <c r="Q297" s="527"/>
      <c r="R297" s="527"/>
      <c r="S297" s="527"/>
      <c r="T297" s="527"/>
      <c r="U297" s="527"/>
      <c r="V297" s="527"/>
      <c r="W297" s="527"/>
      <c r="X297" s="527"/>
    </row>
    <row r="298" spans="1:24" x14ac:dyDescent="0.2">
      <c r="E298" s="529"/>
      <c r="F298" s="529"/>
      <c r="G298" s="529"/>
      <c r="H298" s="529"/>
      <c r="I298" s="529"/>
      <c r="J298" s="529"/>
      <c r="K298" s="529"/>
      <c r="L298" s="529"/>
      <c r="M298" s="529"/>
      <c r="N298" s="527"/>
      <c r="O298" s="527"/>
      <c r="P298" s="527"/>
      <c r="Q298" s="527"/>
      <c r="R298" s="527"/>
      <c r="S298" s="527"/>
      <c r="T298" s="527"/>
      <c r="U298" s="527"/>
      <c r="V298" s="527"/>
      <c r="W298" s="527"/>
      <c r="X298" s="527"/>
    </row>
    <row r="299" spans="1:24" x14ac:dyDescent="0.2">
      <c r="A299" s="527"/>
      <c r="B299" s="527"/>
      <c r="C299" s="527"/>
      <c r="D299" s="448" t="s">
        <v>69</v>
      </c>
      <c r="E299" s="529"/>
      <c r="F299" s="529"/>
      <c r="G299" s="529"/>
      <c r="H299" s="529"/>
      <c r="I299" s="529"/>
      <c r="J299" s="529"/>
      <c r="K299" s="527"/>
      <c r="L299" s="529"/>
      <c r="M299" s="529"/>
      <c r="N299" s="527"/>
      <c r="O299" s="527"/>
      <c r="P299" s="527"/>
      <c r="Q299" s="527"/>
      <c r="R299" s="527"/>
      <c r="S299" s="527"/>
      <c r="T299" s="527"/>
      <c r="U299" s="527"/>
      <c r="V299" s="527"/>
      <c r="W299" s="527"/>
      <c r="X299" s="527"/>
    </row>
    <row r="300" spans="1:24" x14ac:dyDescent="0.2">
      <c r="A300" s="449">
        <v>1</v>
      </c>
      <c r="B300" s="528" t="str">
        <f t="shared" ref="B300:B310" ca="1" si="6">IF(IFERROR(INDEX($B$9:$B$117,MATCH($A300,$X$9:$X$117,0)),"")=0,"",IFERROR(INDEX($B$9:$B$117,MATCH($A300,$X$9:$X$117,0)),""))</f>
        <v>Henri Mitt</v>
      </c>
      <c r="C300" s="981">
        <v>40</v>
      </c>
      <c r="D300" s="527"/>
      <c r="E300" s="529"/>
      <c r="F300" s="529"/>
      <c r="G300" s="529"/>
      <c r="H300" s="529"/>
      <c r="I300" s="529"/>
      <c r="J300" s="529"/>
      <c r="K300" s="529"/>
      <c r="L300" s="529"/>
      <c r="M300" s="529"/>
      <c r="N300" s="527"/>
      <c r="O300" s="527"/>
      <c r="P300" s="527"/>
      <c r="Q300" s="527"/>
      <c r="R300" s="527"/>
      <c r="S300" s="527"/>
      <c r="T300" s="527"/>
      <c r="U300" s="527"/>
      <c r="V300" s="527"/>
      <c r="W300" s="527"/>
      <c r="X300" s="527"/>
    </row>
    <row r="301" spans="1:24" x14ac:dyDescent="0.2">
      <c r="A301" s="449">
        <v>2</v>
      </c>
      <c r="B301" s="530" t="str">
        <f t="shared" ca="1" si="6"/>
        <v>Oskar Sepp</v>
      </c>
      <c r="C301" s="981">
        <v>34</v>
      </c>
      <c r="D301" s="527"/>
      <c r="E301" s="529"/>
      <c r="F301" s="529"/>
      <c r="G301" s="529"/>
      <c r="H301" s="529"/>
      <c r="I301" s="529"/>
      <c r="J301" s="529"/>
      <c r="K301" s="529"/>
      <c r="L301" s="529"/>
      <c r="M301" s="529"/>
      <c r="N301" s="527"/>
      <c r="O301" s="527"/>
      <c r="P301" s="527"/>
      <c r="Q301" s="527"/>
      <c r="R301" s="527"/>
      <c r="S301" s="527"/>
      <c r="T301" s="527"/>
      <c r="U301" s="527"/>
      <c r="V301" s="527"/>
      <c r="W301" s="527"/>
      <c r="X301" s="527"/>
    </row>
    <row r="302" spans="1:24" x14ac:dyDescent="0.2">
      <c r="A302" s="449">
        <v>3</v>
      </c>
      <c r="B302" s="531" t="str">
        <f t="shared" ca="1" si="6"/>
        <v>Urmas Jõeäär</v>
      </c>
      <c r="C302" s="981">
        <v>30</v>
      </c>
      <c r="D302" s="527"/>
      <c r="E302" s="529"/>
      <c r="F302" s="529"/>
      <c r="G302" s="529"/>
      <c r="H302" s="529"/>
      <c r="I302" s="529"/>
      <c r="J302" s="529"/>
      <c r="K302" s="529"/>
      <c r="L302" s="529"/>
      <c r="M302" s="529"/>
      <c r="N302" s="527"/>
      <c r="O302" s="527"/>
      <c r="P302" s="527"/>
      <c r="Q302" s="527"/>
      <c r="R302" s="527"/>
      <c r="S302" s="527"/>
      <c r="T302" s="527"/>
      <c r="U302" s="527"/>
      <c r="V302" s="527"/>
      <c r="W302" s="527"/>
      <c r="X302" s="527"/>
    </row>
    <row r="303" spans="1:24" x14ac:dyDescent="0.2">
      <c r="A303" s="449">
        <v>4</v>
      </c>
      <c r="B303" s="532" t="str">
        <f t="shared" ca="1" si="6"/>
        <v>Olav Türk</v>
      </c>
      <c r="C303" s="981">
        <v>26</v>
      </c>
      <c r="D303" s="527"/>
      <c r="E303" s="529"/>
      <c r="F303" s="529"/>
      <c r="G303" s="529"/>
      <c r="H303" s="529"/>
      <c r="I303" s="529"/>
      <c r="J303" s="529"/>
      <c r="K303" s="533"/>
      <c r="L303" s="529"/>
      <c r="M303" s="529"/>
      <c r="N303" s="527"/>
      <c r="O303" s="527"/>
      <c r="P303" s="527"/>
      <c r="Q303" s="527"/>
      <c r="R303" s="527"/>
      <c r="S303" s="527"/>
      <c r="T303" s="527"/>
      <c r="U303" s="527"/>
      <c r="V303" s="527"/>
      <c r="W303" s="527"/>
      <c r="X303" s="527"/>
    </row>
    <row r="304" spans="1:24" x14ac:dyDescent="0.2">
      <c r="A304" s="449">
        <v>5</v>
      </c>
      <c r="B304" s="532" t="str">
        <f t="shared" si="6"/>
        <v>Ivar Viljaste</v>
      </c>
      <c r="C304" s="981">
        <v>24</v>
      </c>
      <c r="D304" s="527"/>
      <c r="E304" s="527"/>
      <c r="F304" s="527"/>
      <c r="G304" s="527"/>
      <c r="H304" s="527"/>
      <c r="I304" s="527"/>
      <c r="J304" s="527"/>
      <c r="K304" s="527"/>
      <c r="L304" s="527"/>
      <c r="M304" s="527"/>
      <c r="N304" s="527"/>
      <c r="O304" s="527"/>
      <c r="P304" s="527"/>
      <c r="Q304" s="527"/>
      <c r="R304" s="527"/>
      <c r="S304" s="527"/>
      <c r="T304" s="527"/>
      <c r="U304" s="527"/>
      <c r="V304" s="527"/>
      <c r="W304" s="527"/>
      <c r="X304" s="527"/>
    </row>
    <row r="305" spans="1:24" x14ac:dyDescent="0.2">
      <c r="A305" s="449">
        <v>6</v>
      </c>
      <c r="B305" s="532" t="str">
        <f t="shared" si="6"/>
        <v>Svetlana Veski</v>
      </c>
      <c r="C305" s="981">
        <v>22</v>
      </c>
      <c r="D305" s="527"/>
      <c r="E305" s="527"/>
      <c r="F305" s="527"/>
      <c r="G305" s="527"/>
      <c r="H305" s="527"/>
      <c r="I305" s="527"/>
      <c r="J305" s="527"/>
      <c r="K305" s="527"/>
      <c r="L305" s="527"/>
      <c r="M305" s="527"/>
      <c r="N305" s="527"/>
      <c r="O305" s="527"/>
      <c r="P305" s="527"/>
      <c r="Q305" s="527"/>
      <c r="R305" s="527"/>
      <c r="S305" s="527"/>
      <c r="T305" s="527"/>
      <c r="U305" s="527"/>
      <c r="V305" s="527"/>
      <c r="W305" s="527"/>
      <c r="X305" s="527"/>
    </row>
    <row r="306" spans="1:24" x14ac:dyDescent="0.2">
      <c r="A306" s="449">
        <v>7</v>
      </c>
      <c r="B306" s="532" t="str">
        <f t="shared" si="6"/>
        <v>Jaan Sepp</v>
      </c>
      <c r="C306" s="981">
        <v>20</v>
      </c>
      <c r="D306" s="527"/>
      <c r="E306" s="527"/>
      <c r="F306" s="527"/>
      <c r="G306" s="527"/>
      <c r="H306" s="527"/>
      <c r="I306" s="527"/>
      <c r="J306" s="527"/>
      <c r="K306" s="527"/>
      <c r="L306" s="527"/>
      <c r="M306" s="527"/>
      <c r="N306" s="527"/>
      <c r="O306" s="527"/>
      <c r="P306" s="527"/>
      <c r="Q306" s="527"/>
      <c r="R306" s="527"/>
      <c r="S306" s="527"/>
      <c r="T306" s="527"/>
      <c r="U306" s="527"/>
      <c r="V306" s="527"/>
      <c r="W306" s="527"/>
      <c r="X306" s="527"/>
    </row>
    <row r="307" spans="1:24" x14ac:dyDescent="0.2">
      <c r="A307" s="449">
        <v>8</v>
      </c>
      <c r="B307" s="532" t="str">
        <f t="shared" si="6"/>
        <v>Andres Veski</v>
      </c>
      <c r="C307" s="981">
        <v>18</v>
      </c>
      <c r="D307" s="527"/>
      <c r="E307" s="527"/>
      <c r="F307" s="527"/>
      <c r="G307" s="527"/>
      <c r="H307" s="527"/>
      <c r="I307" s="527"/>
      <c r="J307" s="527"/>
      <c r="K307" s="527"/>
      <c r="L307" s="527"/>
      <c r="M307" s="527"/>
      <c r="N307" s="527"/>
      <c r="O307" s="527"/>
      <c r="P307" s="527"/>
      <c r="Q307" s="527"/>
      <c r="R307" s="527"/>
      <c r="S307" s="527"/>
      <c r="T307" s="527"/>
      <c r="U307" s="527"/>
      <c r="V307" s="527"/>
      <c r="W307" s="527"/>
      <c r="X307" s="527"/>
    </row>
    <row r="308" spans="1:24" x14ac:dyDescent="0.2">
      <c r="A308" s="449">
        <v>9</v>
      </c>
      <c r="B308" s="532" t="str">
        <f t="shared" si="6"/>
        <v>Kristo Viljaste</v>
      </c>
      <c r="C308" s="982">
        <v>16</v>
      </c>
      <c r="D308" s="409"/>
      <c r="E308" s="527"/>
      <c r="F308" s="527"/>
      <c r="G308" s="527"/>
      <c r="H308" s="527"/>
      <c r="I308" s="527"/>
      <c r="J308" s="527"/>
      <c r="K308" s="527"/>
      <c r="L308" s="527"/>
      <c r="M308" s="527"/>
      <c r="N308" s="527"/>
      <c r="O308" s="527"/>
      <c r="P308" s="527"/>
      <c r="Q308" s="527"/>
      <c r="R308" s="527"/>
      <c r="S308" s="527"/>
      <c r="T308" s="527"/>
      <c r="U308" s="527"/>
      <c r="V308" s="527"/>
      <c r="W308" s="527"/>
      <c r="X308" s="527"/>
    </row>
    <row r="309" spans="1:24" x14ac:dyDescent="0.2">
      <c r="A309" s="449">
        <v>10</v>
      </c>
      <c r="B309" s="532" t="str">
        <f t="shared" si="6"/>
        <v>Oleg Rõndenkov</v>
      </c>
      <c r="C309" s="982">
        <v>14</v>
      </c>
      <c r="D309" s="409"/>
      <c r="E309" s="527"/>
      <c r="F309" s="527"/>
      <c r="G309" s="527"/>
      <c r="H309" s="527"/>
      <c r="I309" s="527"/>
      <c r="J309" s="527"/>
      <c r="K309" s="527"/>
      <c r="L309" s="527"/>
      <c r="M309" s="527"/>
      <c r="N309" s="527"/>
      <c r="O309" s="527"/>
      <c r="P309" s="527"/>
      <c r="Q309" s="527"/>
      <c r="R309" s="527"/>
      <c r="S309" s="527"/>
      <c r="T309" s="527"/>
      <c r="U309" s="527"/>
      <c r="V309" s="527"/>
      <c r="W309" s="527"/>
      <c r="X309" s="527"/>
    </row>
    <row r="310" spans="1:24" x14ac:dyDescent="0.2">
      <c r="A310" s="449">
        <v>11</v>
      </c>
      <c r="B310" s="535" t="str">
        <f t="shared" si="6"/>
        <v>Urmas Randlaine</v>
      </c>
      <c r="C310" s="981">
        <v>12</v>
      </c>
      <c r="D310" s="403"/>
      <c r="E310" s="527"/>
      <c r="F310" s="527"/>
      <c r="G310" s="527"/>
      <c r="H310" s="527"/>
      <c r="I310" s="527"/>
      <c r="J310" s="527"/>
      <c r="K310" s="527"/>
      <c r="L310" s="527"/>
      <c r="M310" s="527"/>
      <c r="N310" s="527"/>
      <c r="O310" s="527"/>
      <c r="P310" s="527"/>
      <c r="Q310" s="527"/>
      <c r="R310" s="527"/>
      <c r="S310" s="527"/>
      <c r="T310" s="527"/>
      <c r="U310" s="527"/>
      <c r="V310" s="527"/>
      <c r="W310" s="527"/>
      <c r="X310" s="527"/>
    </row>
  </sheetData>
  <conditionalFormatting sqref="W35:W39">
    <cfRule type="top10" dxfId="2072" priority="8" rank="1"/>
  </conditionalFormatting>
  <conditionalFormatting sqref="W30:W31">
    <cfRule type="top10" dxfId="2071" priority="11" rank="1"/>
  </conditionalFormatting>
  <conditionalFormatting sqref="W32:W33">
    <cfRule type="top10" dxfId="2070" priority="10" rank="1"/>
  </conditionalFormatting>
  <conditionalFormatting sqref="W35:W36">
    <cfRule type="top10" dxfId="2069" priority="9" rank="1"/>
  </conditionalFormatting>
  <conditionalFormatting sqref="X30:X33">
    <cfRule type="duplicateValues" dxfId="2068" priority="12"/>
  </conditionalFormatting>
  <conditionalFormatting sqref="W21:W22">
    <cfRule type="top10" dxfId="2067" priority="5" rank="1"/>
  </conditionalFormatting>
  <conditionalFormatting sqref="W23:W24">
    <cfRule type="top10" dxfId="2066" priority="4" rank="1"/>
  </conditionalFormatting>
  <conditionalFormatting sqref="W25:W26">
    <cfRule type="top10" dxfId="2065" priority="3" rank="1"/>
  </conditionalFormatting>
  <conditionalFormatting sqref="X21:X28">
    <cfRule type="duplicateValues" dxfId="2064" priority="6"/>
    <cfRule type="top10" dxfId="2063" priority="7" stopIfTrue="1" rank="4"/>
  </conditionalFormatting>
  <conditionalFormatting sqref="AE9:AE19">
    <cfRule type="expression" dxfId="2062" priority="1">
      <formula>AND(AF9="",COUNTIF(AE9,"*,*")=0)</formula>
    </cfRule>
  </conditionalFormatting>
  <conditionalFormatting sqref="X9:X19">
    <cfRule type="duplicateValues" dxfId="2061" priority="496"/>
    <cfRule type="top10" dxfId="2060" priority="497" stopIfTrue="1" rank="100"/>
  </conditionalFormatting>
  <conditionalFormatting sqref="B9:B19">
    <cfRule type="duplicateValues" dxfId="2059" priority="498" stopIfTrue="1"/>
  </conditionalFormatting>
  <conditionalFormatting sqref="W9:W39">
    <cfRule type="top10" dxfId="2058" priority="499" stopIfTrue="1" rank="1"/>
  </conditionalFormatting>
  <conditionalFormatting sqref="A300:A310">
    <cfRule type="duplicateValues" dxfId="2057" priority="500"/>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312"/>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5.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7.710937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 min="39" max="39" width="9.140625" hidden="1" customWidth="1"/>
    <col min="40" max="40" width="17.28515625" hidden="1" customWidth="1"/>
    <col min="41" max="41" width="0" hidden="1" customWidth="1"/>
    <col min="42" max="42" width="13.85546875" hidden="1" customWidth="1"/>
  </cols>
  <sheetData>
    <row r="1" spans="1:42" x14ac:dyDescent="0.2">
      <c r="A1" s="462" t="str">
        <f>UPPER((Kalend!E26)&amp;" - "&amp;(Kalend!C26)&amp;" - "&amp;(Kalend!D26))</f>
        <v>9 - K-JÄRVE 22. MV - DUO</v>
      </c>
      <c r="B1" s="403"/>
      <c r="C1" s="404"/>
      <c r="D1" s="403"/>
      <c r="E1" s="403"/>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"&amp;(Kalend!A26)&amp;" kell "&amp;(Kalend!B26)</f>
        <v>Toimumisaeg: N, 08.07.2021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03"/>
      <c r="AB2" s="403"/>
      <c r="AD2" s="409"/>
      <c r="AE2" s="409"/>
      <c r="AF2" s="409"/>
      <c r="AG2" s="409"/>
      <c r="AH2" s="409"/>
      <c r="AI2" s="585"/>
      <c r="AJ2" s="409"/>
      <c r="AK2" s="409"/>
      <c r="AL2" s="409"/>
      <c r="AM2" s="409"/>
      <c r="AN2" s="409"/>
    </row>
    <row r="3" spans="1:42" x14ac:dyDescent="0.2">
      <c r="A3" s="409" t="str">
        <f>"Toimumiskoht: "&amp;(Kalend!F26)</f>
        <v>Toimumiskoht: K-Järve spordihoone</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"&amp;(Kalend!G26)</f>
        <v>Korraldaja: Ivar Viljaste</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SUM(AE7:AL7)</f>
        <v>0</v>
      </c>
      <c r="AE7" s="459" t="str">
        <f>IFERROR(INDEX(Reit!$I:$I,MATCH(AF7,Reit!$F:$F,0)),"")</f>
        <v/>
      </c>
      <c r="AF7" s="460" t="str">
        <f t="shared" ref="AF7:AF20" si="1">IFERROR(LEFT($B7,(FIND(",",$B7,1)-1)),"")</f>
        <v/>
      </c>
      <c r="AG7" s="459" t="str">
        <f>IFERROR(INDEX(Reit!$I:$I,MATCH(AH7,Reit!$F:$F,0)),"")</f>
        <v/>
      </c>
      <c r="AH7" s="460" t="str">
        <f t="shared" ref="AH7:AH20" si="2">IFERROR(MID($B7,FIND(", ",$B7)+2,256),"")</f>
        <v/>
      </c>
      <c r="AI7" s="459" t="str">
        <f>IFERROR(INDEX(Reit!$I:$I,MATCH(AJ7,Reit!$F:$F,0)),"")</f>
        <v/>
      </c>
      <c r="AJ7" s="460" t="str">
        <f t="shared" ref="AJ7:AJ20" si="3">IFERROR(MID($B7,FIND("^",SUBSTITUTE($B7,", ","^",1))+2,FIND("^",SUBSTITUTE($B7,", ","^",2))-FIND("^",SUBSTITUTE($B7,", ","^",1))-2),"")</f>
        <v/>
      </c>
      <c r="AK7" s="459" t="str">
        <f>IFERROR(INDEX(Reit!$I:$I,MATCH(AL7,Reit!$F:$F,0)),"")</f>
        <v/>
      </c>
      <c r="AL7" s="460" t="str">
        <f t="shared" ref="AL7:AL20" si="4">IFERROR(MID($B7,FIND(", ",$B7,FIND(", ",$B7,FIND(", ",$B7))+1)+2,30000),"")</f>
        <v/>
      </c>
      <c r="AM7" s="459" t="str">
        <f>IFERROR(INDEX(Reit!$I:$I,MATCH(AN7,Reit!$F:$F,0)),"")</f>
        <v/>
      </c>
      <c r="AN7" s="460" t="str">
        <f t="shared" ref="AN7:AN20" si="5">IFERROR(MID($B7,FIND(", ",$B7,FIND(", ",$B7)+1)+2,FIND(", ",$B7,FIND(", ",$B7,FIND(", ",$B7)+1)+1)-FIND(", ",$B7,FIND(", ",$B7)+1)-2),"")</f>
        <v/>
      </c>
      <c r="AO7" s="459" t="str">
        <f>IFERROR(INDEX(Reit!$I:$I,MATCH(AP7,Reit!$F:$F,0)),"")</f>
        <v/>
      </c>
      <c r="AP7" s="460" t="str">
        <f t="shared" ref="AP7:AP20" si="6">IFERROR(MID($B7,FIND(", ",$B7,FIND(", ",$B7,FIND(", ",$B7)+1)+1)+2,30000),"")</f>
        <v/>
      </c>
    </row>
    <row r="8" spans="1:42" x14ac:dyDescent="0.2">
      <c r="A8" s="435">
        <v>1</v>
      </c>
      <c r="B8" s="436" t="s">
        <v>475</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ca="1" si="0"/>
        <v>498</v>
      </c>
      <c r="AE8" s="459">
        <f ca="1">IFERROR(INDEX(Reit!$I:$I,MATCH(AF8,Reit!$F:$F,0)),"")</f>
        <v>286</v>
      </c>
      <c r="AF8" s="460" t="str">
        <f t="shared" si="1"/>
        <v>Henri Mitt</v>
      </c>
      <c r="AG8" s="459">
        <f ca="1">IFERROR(INDEX(Reit!$I:$I,MATCH(AH8,Reit!$F:$F,0)),"")</f>
        <v>212</v>
      </c>
      <c r="AH8" s="460" t="str">
        <f t="shared" si="2"/>
        <v>Oleg Rõndenkov</v>
      </c>
      <c r="AI8" s="459" t="str">
        <f>IFERROR(INDEX(Reit!$I:$I,MATCH(AJ8,Reit!$F:$F,0)),"")</f>
        <v/>
      </c>
      <c r="AJ8" s="460" t="str">
        <f t="shared" si="3"/>
        <v/>
      </c>
      <c r="AK8" s="459" t="str">
        <f>IFERROR(INDEX(Reit!$I:$I,MATCH(AL8,Reit!$F:$F,0)),"")</f>
        <v/>
      </c>
      <c r="AL8" s="460" t="str">
        <f t="shared" si="4"/>
        <v/>
      </c>
      <c r="AM8" s="459" t="str">
        <f>IFERROR(INDEX(Reit!$I:$I,MATCH(AN8,Reit!$F:$F,0)),"")</f>
        <v/>
      </c>
      <c r="AN8" s="460" t="str">
        <f t="shared" si="5"/>
        <v/>
      </c>
      <c r="AO8" s="459" t="str">
        <f>IFERROR(INDEX(Reit!$I:$I,MATCH(AP8,Reit!$F:$F,0)),"")</f>
        <v/>
      </c>
      <c r="AP8" s="460" t="str">
        <f t="shared" si="6"/>
        <v/>
      </c>
    </row>
    <row r="9" spans="1:42" x14ac:dyDescent="0.2">
      <c r="A9" s="435">
        <v>2</v>
      </c>
      <c r="B9" s="436" t="s">
        <v>476</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8" si="7">IF(C9&gt;E9,J$3,IF(C9&lt;E9,J$5,IF(ISNUMBER(C9),J$4,0)))+IF(G9&gt;I9,J$3,IF(G9&lt;I9,J$5,IF(ISNUMBER(G9),J$4,0)))+IF(K9&gt;M9,J$3,IF(K9&lt;M9,J$5,IF(ISNUMBER(K9),J$4,0)))+IF(O9&gt;Q9,J$3,IF(O9&lt;Q9,J$5,IF(ISNUMBER(O9),J$4,0)))+IF(S9&gt;U9,J$3,IF(S9&lt;U9,J$5,IF(ISNUMBER(S9),J$4,0)))</f>
        <v>0</v>
      </c>
      <c r="X9" s="442"/>
      <c r="Y9" s="437">
        <f t="shared" ref="Y9:Y18" si="8">C9+G9+K9+O9+S9</f>
        <v>0</v>
      </c>
      <c r="Z9" s="438" t="s">
        <v>246</v>
      </c>
      <c r="AA9" s="443">
        <f t="shared" ref="AA9:AA18" si="9">E9+I9+M9+Q9+U9</f>
        <v>0</v>
      </c>
      <c r="AB9" s="444">
        <f t="shared" ref="AB9:AB18" si="10">Y9-AA9</f>
        <v>0</v>
      </c>
      <c r="AC9" s="445"/>
      <c r="AD9" s="458">
        <f t="shared" ca="1" si="0"/>
        <v>403</v>
      </c>
      <c r="AE9" s="459">
        <f ca="1">IFERROR(INDEX(Reit!$I:$I,MATCH(AF9,Reit!$F:$F,0)),"")</f>
        <v>273</v>
      </c>
      <c r="AF9" s="460" t="str">
        <f t="shared" si="1"/>
        <v>Kenneth Muusikus</v>
      </c>
      <c r="AG9" s="459">
        <f ca="1">IFERROR(INDEX(Reit!$I:$I,MATCH(AH9,Reit!$F:$F,0)),"")</f>
        <v>130</v>
      </c>
      <c r="AH9" s="460" t="str">
        <f t="shared" si="2"/>
        <v>Marta Bernat</v>
      </c>
      <c r="AI9" s="459" t="str">
        <f>IFERROR(INDEX(Reit!$I:$I,MATCH(AJ9,Reit!$F:$F,0)),"")</f>
        <v/>
      </c>
      <c r="AJ9" s="460" t="str">
        <f t="shared" si="3"/>
        <v/>
      </c>
      <c r="AK9" s="459" t="str">
        <f>IFERROR(INDEX(Reit!$I:$I,MATCH(AL9,Reit!$F:$F,0)),"")</f>
        <v/>
      </c>
      <c r="AL9" s="460" t="str">
        <f t="shared" si="4"/>
        <v/>
      </c>
      <c r="AM9" s="459" t="str">
        <f>IFERROR(INDEX(Reit!$I:$I,MATCH(AN9,Reit!$F:$F,0)),"")</f>
        <v/>
      </c>
      <c r="AN9" s="460" t="str">
        <f t="shared" si="5"/>
        <v/>
      </c>
      <c r="AO9" s="459" t="str">
        <f>IFERROR(INDEX(Reit!$I:$I,MATCH(AP9,Reit!$F:$F,0)),"")</f>
        <v/>
      </c>
      <c r="AP9" s="460" t="str">
        <f t="shared" si="6"/>
        <v/>
      </c>
    </row>
    <row r="10" spans="1:42" x14ac:dyDescent="0.2">
      <c r="A10" s="435">
        <v>3</v>
      </c>
      <c r="B10" s="436" t="s">
        <v>255</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ca="1" si="0"/>
        <v>403</v>
      </c>
      <c r="AE10" s="459">
        <f ca="1">IFERROR(INDEX(Reit!$I:$I,MATCH(AF10,Reit!$F:$F,0)),"")</f>
        <v>197</v>
      </c>
      <c r="AF10" s="460" t="str">
        <f t="shared" si="1"/>
        <v>Andres Veski</v>
      </c>
      <c r="AG10" s="459">
        <f ca="1">IFERROR(INDEX(Reit!$I:$I,MATCH(AH10,Reit!$F:$F,0)),"")</f>
        <v>206</v>
      </c>
      <c r="AH10" s="460" t="str">
        <f t="shared" si="2"/>
        <v>Svetlana Veski</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x14ac:dyDescent="0.2">
      <c r="A11" s="435">
        <v>4</v>
      </c>
      <c r="B11" s="436" t="s">
        <v>465</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ca="1" si="0"/>
        <v>505</v>
      </c>
      <c r="AE11" s="459">
        <f ca="1">IFERROR(INDEX(Reit!$I:$I,MATCH(AF11,Reit!$F:$F,0)),"")</f>
        <v>211</v>
      </c>
      <c r="AF11" s="460" t="str">
        <f t="shared" si="1"/>
        <v>Kaspar Mänd</v>
      </c>
      <c r="AG11" s="459">
        <f ca="1">IFERROR(INDEX(Reit!$I:$I,MATCH(AH11,Reit!$F:$F,0)),"")</f>
        <v>294</v>
      </c>
      <c r="AH11" s="460" t="str">
        <f t="shared" si="2"/>
        <v>Matti Vinni</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x14ac:dyDescent="0.2">
      <c r="A12" s="435">
        <v>5</v>
      </c>
      <c r="B12" s="436" t="s">
        <v>256</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ca="1" si="0"/>
        <v>540</v>
      </c>
      <c r="AE12" s="459">
        <f ca="1">IFERROR(INDEX(Reit!$I:$I,MATCH(AF12,Reit!$F:$F,0)),"")</f>
        <v>248</v>
      </c>
      <c r="AF12" s="460" t="str">
        <f t="shared" si="1"/>
        <v>Jaan Sepp</v>
      </c>
      <c r="AG12" s="459">
        <f ca="1">IFERROR(INDEX(Reit!$I:$I,MATCH(AH12,Reit!$F:$F,0)),"")</f>
        <v>292</v>
      </c>
      <c r="AH12" s="460" t="str">
        <f t="shared" si="2"/>
        <v>Oskar Sepp</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x14ac:dyDescent="0.2">
      <c r="A13" s="435">
        <v>6</v>
      </c>
      <c r="B13" s="436" t="s">
        <v>251</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ca="1" si="0"/>
        <v>334</v>
      </c>
      <c r="AE13" s="459">
        <f ca="1">IFERROR(INDEX(Reit!$I:$I,MATCH(AF13,Reit!$F:$F,0)),"")</f>
        <v>178</v>
      </c>
      <c r="AF13" s="460" t="str">
        <f t="shared" si="1"/>
        <v>Meelis Luud</v>
      </c>
      <c r="AG13" s="459">
        <f ca="1">IFERROR(INDEX(Reit!$I:$I,MATCH(AH13,Reit!$F:$F,0)),"")</f>
        <v>156</v>
      </c>
      <c r="AH13" s="460" t="str">
        <f t="shared" si="2"/>
        <v>Sander Rose</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x14ac:dyDescent="0.2">
      <c r="A14" s="435">
        <v>7</v>
      </c>
      <c r="B14" s="446" t="s">
        <v>477</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ca="1" si="0"/>
        <v>112</v>
      </c>
      <c r="AE14" s="459">
        <f ca="1">IFERROR(INDEX(Reit!$I:$I,MATCH(AF14,Reit!$F:$F,0)),"")</f>
        <v>20</v>
      </c>
      <c r="AF14" s="460" t="str">
        <f t="shared" si="1"/>
        <v>Aleksander Korikov</v>
      </c>
      <c r="AG14" s="459">
        <f ca="1">IFERROR(INDEX(Reit!$I:$I,MATCH(AH14,Reit!$F:$F,0)),"")</f>
        <v>92</v>
      </c>
      <c r="AH14" s="460" t="str">
        <f t="shared" si="2"/>
        <v>Oksana Rõndenkova</v>
      </c>
      <c r="AI14" s="459" t="str">
        <f>IFERROR(INDEX(Reit!$I:$I,MATCH(AJ14,Reit!$F:$F,0)),"")</f>
        <v/>
      </c>
      <c r="AJ14" s="460" t="str">
        <f t="shared" si="3"/>
        <v/>
      </c>
      <c r="AK14" s="459" t="str">
        <f>IFERROR(INDEX(Reit!$I:$I,MATCH(AL14,Reit!$F:$F,0)),"")</f>
        <v/>
      </c>
      <c r="AL14" s="460" t="str">
        <f t="shared" si="4"/>
        <v/>
      </c>
      <c r="AM14" s="459" t="str">
        <f>IFERROR(INDEX(Reit!$I:$I,MATCH(AN14,Reit!$F:$F,0)),"")</f>
        <v/>
      </c>
      <c r="AN14" s="460" t="str">
        <f t="shared" si="5"/>
        <v/>
      </c>
      <c r="AO14" s="459" t="str">
        <f>IFERROR(INDEX(Reit!$I:$I,MATCH(AP14,Reit!$F:$F,0)),"")</f>
        <v/>
      </c>
      <c r="AP14" s="460" t="str">
        <f t="shared" si="6"/>
        <v/>
      </c>
    </row>
    <row r="15" spans="1:42" x14ac:dyDescent="0.2">
      <c r="A15" s="435">
        <v>8</v>
      </c>
      <c r="B15" s="446" t="s">
        <v>444</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ca="1" si="0"/>
        <v>206</v>
      </c>
      <c r="AE15" s="459">
        <f ca="1">IFERROR(INDEX(Reit!$I:$I,MATCH(AF15,Reit!$F:$F,0)),"")</f>
        <v>174</v>
      </c>
      <c r="AF15" s="460" t="str">
        <f t="shared" si="1"/>
        <v>Andrei Grintšak</v>
      </c>
      <c r="AG15" s="459">
        <f ca="1">IFERROR(INDEX(Reit!$I:$I,MATCH(AH15,Reit!$F:$F,0)),"")</f>
        <v>32</v>
      </c>
      <c r="AH15" s="460" t="str">
        <f t="shared" si="2"/>
        <v>Emil Murzajev</v>
      </c>
      <c r="AI15" s="459" t="str">
        <f>IFERROR(INDEX(Reit!$I:$I,MATCH(AJ15,Reit!$F:$F,0)),"")</f>
        <v/>
      </c>
      <c r="AJ15" s="460" t="str">
        <f t="shared" si="3"/>
        <v/>
      </c>
      <c r="AK15" s="459" t="str">
        <f>IFERROR(INDEX(Reit!$I:$I,MATCH(AL15,Reit!$F:$F,0)),"")</f>
        <v/>
      </c>
      <c r="AL15" s="460" t="str">
        <f t="shared" si="4"/>
        <v/>
      </c>
      <c r="AM15" s="459" t="str">
        <f>IFERROR(INDEX(Reit!$I:$I,MATCH(AN15,Reit!$F:$F,0)),"")</f>
        <v/>
      </c>
      <c r="AN15" s="460" t="str">
        <f t="shared" si="5"/>
        <v/>
      </c>
      <c r="AO15" s="459" t="str">
        <f>IFERROR(INDEX(Reit!$I:$I,MATCH(AP15,Reit!$F:$F,0)),"")</f>
        <v/>
      </c>
      <c r="AP15" s="460" t="str">
        <f t="shared" si="6"/>
        <v/>
      </c>
    </row>
    <row r="16" spans="1:42" x14ac:dyDescent="0.2">
      <c r="A16" s="435">
        <v>9</v>
      </c>
      <c r="B16" s="436" t="s">
        <v>269</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ca="1" si="0"/>
        <v>474</v>
      </c>
      <c r="AE16" s="459">
        <f ca="1">IFERROR(INDEX(Reit!$I:$I,MATCH(AF16,Reit!$F:$F,0)),"")</f>
        <v>272</v>
      </c>
      <c r="AF16" s="460" t="str">
        <f t="shared" si="1"/>
        <v>Ivar Viljaste</v>
      </c>
      <c r="AG16" s="459">
        <f ca="1">IFERROR(INDEX(Reit!$I:$I,MATCH(AH16,Reit!$F:$F,0)),"")</f>
        <v>202</v>
      </c>
      <c r="AH16" s="460" t="str">
        <f t="shared" si="2"/>
        <v>Kristo Viljaste</v>
      </c>
      <c r="AI16" s="459" t="str">
        <f>IFERROR(INDEX(Reit!$I:$I,MATCH(AJ16,Reit!$F:$F,0)),"")</f>
        <v/>
      </c>
      <c r="AJ16" s="460" t="str">
        <f t="shared" si="3"/>
        <v/>
      </c>
      <c r="AK16" s="459" t="str">
        <f>IFERROR(INDEX(Reit!$I:$I,MATCH(AL16,Reit!$F:$F,0)),"")</f>
        <v/>
      </c>
      <c r="AL16" s="460" t="str">
        <f t="shared" si="4"/>
        <v/>
      </c>
      <c r="AM16" s="459" t="str">
        <f>IFERROR(INDEX(Reit!$I:$I,MATCH(AN16,Reit!$F:$F,0)),"")</f>
        <v/>
      </c>
      <c r="AN16" s="460" t="str">
        <f t="shared" si="5"/>
        <v/>
      </c>
      <c r="AO16" s="459" t="str">
        <f>IFERROR(INDEX(Reit!$I:$I,MATCH(AP16,Reit!$F:$F,0)),"")</f>
        <v/>
      </c>
      <c r="AP16" s="460" t="str">
        <f t="shared" si="6"/>
        <v/>
      </c>
    </row>
    <row r="17" spans="1:42" x14ac:dyDescent="0.2">
      <c r="A17" s="435">
        <v>10</v>
      </c>
      <c r="B17" s="436" t="s">
        <v>338</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ca="1" si="0"/>
        <v>281</v>
      </c>
      <c r="AE17" s="459">
        <f ca="1">IFERROR(INDEX(Reit!$I:$I,MATCH(AF17,Reit!$F:$F,0)),"")</f>
        <v>149</v>
      </c>
      <c r="AF17" s="460" t="str">
        <f t="shared" si="1"/>
        <v>Ljudmila Varendi</v>
      </c>
      <c r="AG17" s="459">
        <f ca="1">IFERROR(INDEX(Reit!$I:$I,MATCH(AH17,Reit!$F:$F,0)),"")</f>
        <v>132</v>
      </c>
      <c r="AH17" s="460" t="str">
        <f t="shared" si="2"/>
        <v>Viktor Švarõgin</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x14ac:dyDescent="0.2">
      <c r="A18" s="435">
        <v>11</v>
      </c>
      <c r="B18" s="446" t="s">
        <v>254</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7"/>
        <v>0</v>
      </c>
      <c r="X18" s="442"/>
      <c r="Y18" s="437">
        <f t="shared" si="8"/>
        <v>0</v>
      </c>
      <c r="Z18" s="438" t="s">
        <v>246</v>
      </c>
      <c r="AA18" s="443">
        <f t="shared" si="9"/>
        <v>0</v>
      </c>
      <c r="AB18" s="444">
        <f t="shared" si="10"/>
        <v>0</v>
      </c>
      <c r="AC18" s="445"/>
      <c r="AD18" s="458">
        <f ca="1">SUM(AE18:AL18)</f>
        <v>382</v>
      </c>
      <c r="AE18" s="459">
        <f ca="1">IFERROR(INDEX(Reit!$I:$I,MATCH(AF18,Reit!$F:$F,0)),"")</f>
        <v>232</v>
      </c>
      <c r="AF18" s="460" t="str">
        <f t="shared" si="1"/>
        <v>Aarne Välja</v>
      </c>
      <c r="AG18" s="459">
        <f ca="1">IFERROR(INDEX(Reit!$I:$I,MATCH(AH18,Reit!$F:$F,0)),"")</f>
        <v>150</v>
      </c>
      <c r="AH18" s="460" t="str">
        <f t="shared" si="2"/>
        <v>Janek Tarto</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x14ac:dyDescent="0.2">
      <c r="A19" s="435">
        <v>12</v>
      </c>
      <c r="B19" s="436" t="s">
        <v>268</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IF(C19&gt;E19,J$3,IF(C19&lt;E19,J$5,IF(ISNUMBER(C19),J$4,0)))+IF(G19&gt;I19,J$3,IF(G19&lt;I19,J$5,IF(ISNUMBER(G19),J$4,0)))+IF(K19&gt;M19,J$3,IF(K19&lt;M19,J$5,IF(ISNUMBER(K19),J$4,0)))+IF(O19&gt;Q19,J$3,IF(O19&lt;Q19,J$5,IF(ISNUMBER(O19),J$4,0)))+IF(S19&gt;U19,J$3,IF(S19&lt;U19,J$5,IF(ISNUMBER(S19),J$4,0)))</f>
        <v>0</v>
      </c>
      <c r="X19" s="442"/>
      <c r="Y19" s="437">
        <f>C19+G19+K19+O19+S19</f>
        <v>0</v>
      </c>
      <c r="Z19" s="438" t="s">
        <v>246</v>
      </c>
      <c r="AA19" s="443">
        <f>E19+I19+M19+Q19+U19</f>
        <v>0</v>
      </c>
      <c r="AB19" s="444">
        <f>Y19-AA19</f>
        <v>0</v>
      </c>
      <c r="AC19" s="403"/>
      <c r="AD19" s="458">
        <f ca="1">SUM(AE19:AL19)</f>
        <v>344</v>
      </c>
      <c r="AE19" s="459">
        <f ca="1">IFERROR(INDEX(Reit!$I:$I,MATCH(AF19,Reit!$F:$F,0)),"")</f>
        <v>185</v>
      </c>
      <c r="AF19" s="460" t="str">
        <f t="shared" si="1"/>
        <v>Boriss Klubov</v>
      </c>
      <c r="AG19" s="459">
        <f ca="1">IFERROR(INDEX(Reit!$I:$I,MATCH(AH19,Reit!$F:$F,0)),"")</f>
        <v>159</v>
      </c>
      <c r="AH19" s="460" t="str">
        <f t="shared" si="2"/>
        <v>Elmo Lageda</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x14ac:dyDescent="0.2">
      <c r="A20" s="435">
        <v>13</v>
      </c>
      <c r="B20" s="446" t="s">
        <v>260</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IF(C20&gt;E20,J$3,IF(C20&lt;E20,J$5,IF(ISNUMBER(C20),J$4,0)))+IF(G20&gt;I20,J$3,IF(G20&lt;I20,J$5,IF(ISNUMBER(G20),J$4,0)))+IF(K20&gt;M20,J$3,IF(K20&lt;M20,J$5,IF(ISNUMBER(K20),J$4,0)))+IF(O20&gt;Q20,J$3,IF(O20&lt;Q20,J$5,IF(ISNUMBER(O20),J$4,0)))+IF(S20&gt;U20,J$3,IF(S20&lt;U20,J$5,IF(ISNUMBER(S20),J$4,0)))</f>
        <v>0</v>
      </c>
      <c r="X20" s="442"/>
      <c r="Y20" s="437">
        <f>C20+G20+K20+O20+S20</f>
        <v>0</v>
      </c>
      <c r="Z20" s="438" t="s">
        <v>246</v>
      </c>
      <c r="AA20" s="443">
        <f>E20+I20+M20+Q20+U20</f>
        <v>0</v>
      </c>
      <c r="AB20" s="444">
        <f>Y20-AA20</f>
        <v>0</v>
      </c>
      <c r="AC20" s="403"/>
      <c r="AD20" s="458">
        <f ca="1">SUM(AE20:AL20)</f>
        <v>52</v>
      </c>
      <c r="AE20" s="459">
        <f ca="1">IFERROR(INDEX(Reit!$I:$I,MATCH(AF20,Reit!$F:$F,0)),"")</f>
        <v>18</v>
      </c>
      <c r="AF20" s="460" t="str">
        <f t="shared" si="1"/>
        <v>Heili Vasser</v>
      </c>
      <c r="AG20" s="459">
        <f ca="1">IFERROR(INDEX(Reit!$I:$I,MATCH(AH20,Reit!$F:$F,0)),"")</f>
        <v>34</v>
      </c>
      <c r="AH20" s="460" t="str">
        <f t="shared" si="2"/>
        <v>Vello Vasser</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7"/>
      <c r="M134" s="407"/>
      <c r="N134" s="407"/>
      <c r="O134" s="403"/>
      <c r="P134" s="403"/>
      <c r="Q134" s="403"/>
      <c r="R134" s="403"/>
      <c r="S134" s="403"/>
      <c r="T134" s="407"/>
      <c r="U134" s="407"/>
      <c r="V134" s="407"/>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7"/>
      <c r="M163" s="407"/>
      <c r="N163" s="407"/>
      <c r="O163" s="403"/>
      <c r="P163" s="403"/>
      <c r="Q163" s="403"/>
      <c r="R163" s="403"/>
      <c r="S163" s="403"/>
      <c r="T163" s="407"/>
      <c r="U163" s="407"/>
      <c r="V163" s="407"/>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D286" s="448"/>
      <c r="E286" s="448"/>
      <c r="F286" s="403"/>
      <c r="G286" s="403"/>
      <c r="H286" s="403"/>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52"/>
      <c r="E287" s="452"/>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04"/>
      <c r="E288" s="404"/>
      <c r="F288" s="403"/>
      <c r="G288" s="403"/>
      <c r="H288" s="403"/>
      <c r="I288" s="403"/>
      <c r="J288" s="403"/>
      <c r="K288" s="403"/>
      <c r="L288" s="403"/>
      <c r="M288" s="403"/>
      <c r="N288" s="403"/>
      <c r="O288" s="403"/>
      <c r="P288" s="403"/>
      <c r="Q288" s="403"/>
      <c r="R288" s="403"/>
      <c r="S288" s="403"/>
      <c r="T288" s="403"/>
      <c r="U288" s="403"/>
      <c r="V288" s="403"/>
      <c r="W288" s="45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5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row>
    <row r="297" spans="1:39" x14ac:dyDescent="0.2">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row>
    <row r="299" spans="1:39" x14ac:dyDescent="0.2">
      <c r="A299" s="403"/>
      <c r="B299" s="403"/>
      <c r="C299" s="447" t="s">
        <v>69</v>
      </c>
    </row>
    <row r="300" spans="1:39" x14ac:dyDescent="0.2">
      <c r="A300" s="449">
        <v>1</v>
      </c>
      <c r="B300" s="450" t="str">
        <f t="shared" ref="B300:B310" si="11">IFERROR(INDEX(B$1:B$87,MATCH(A300,A$1:A$87,0)),"")</f>
        <v>Henri Mitt, Oleg Rõndenkov</v>
      </c>
      <c r="C300" s="981">
        <v>40</v>
      </c>
    </row>
    <row r="301" spans="1:39" x14ac:dyDescent="0.2">
      <c r="A301" s="449">
        <v>2</v>
      </c>
      <c r="B301" s="450" t="str">
        <f t="shared" si="11"/>
        <v>Kenneth Muusikus, Marta Bernat</v>
      </c>
      <c r="C301" s="981">
        <v>34</v>
      </c>
    </row>
    <row r="302" spans="1:39" x14ac:dyDescent="0.2">
      <c r="A302" s="449">
        <v>3</v>
      </c>
      <c r="B302" s="450" t="str">
        <f t="shared" si="11"/>
        <v>Andres Veski, Svetlana Veski</v>
      </c>
      <c r="C302" s="981">
        <v>30</v>
      </c>
    </row>
    <row r="303" spans="1:39" x14ac:dyDescent="0.2">
      <c r="A303" s="449">
        <v>4</v>
      </c>
      <c r="B303" s="450" t="str">
        <f t="shared" si="11"/>
        <v>Kaspar Mänd, Matti Vinni</v>
      </c>
      <c r="C303" s="981">
        <v>26</v>
      </c>
    </row>
    <row r="304" spans="1:39" x14ac:dyDescent="0.2">
      <c r="A304" s="449">
        <v>5</v>
      </c>
      <c r="B304" s="450" t="str">
        <f t="shared" si="11"/>
        <v>Jaan Sepp, Oskar Sepp</v>
      </c>
      <c r="C304" s="981">
        <v>24</v>
      </c>
    </row>
    <row r="305" spans="1:3" x14ac:dyDescent="0.2">
      <c r="A305" s="449">
        <v>6</v>
      </c>
      <c r="B305" s="450" t="str">
        <f t="shared" si="11"/>
        <v>Meelis Luud, Sander Rose</v>
      </c>
      <c r="C305" s="981">
        <v>22</v>
      </c>
    </row>
    <row r="306" spans="1:3" x14ac:dyDescent="0.2">
      <c r="A306" s="449">
        <v>7</v>
      </c>
      <c r="B306" s="450" t="str">
        <f t="shared" si="11"/>
        <v>Aleksander Korikov, Oksana Rõndenkova</v>
      </c>
      <c r="C306" s="981">
        <v>20</v>
      </c>
    </row>
    <row r="307" spans="1:3" x14ac:dyDescent="0.2">
      <c r="A307" s="449">
        <v>8</v>
      </c>
      <c r="B307" s="450" t="str">
        <f t="shared" si="11"/>
        <v>Andrei Grintšak, Emil Murzajev</v>
      </c>
      <c r="C307" s="981">
        <v>18</v>
      </c>
    </row>
    <row r="308" spans="1:3" x14ac:dyDescent="0.2">
      <c r="A308" s="449">
        <v>9</v>
      </c>
      <c r="B308" s="450" t="str">
        <f t="shared" si="11"/>
        <v>Ivar Viljaste, Kristo Viljaste</v>
      </c>
      <c r="C308" s="981">
        <v>16</v>
      </c>
    </row>
    <row r="309" spans="1:3" x14ac:dyDescent="0.2">
      <c r="A309" s="449">
        <v>10</v>
      </c>
      <c r="B309" s="450" t="str">
        <f t="shared" si="11"/>
        <v>Ljudmila Varendi, Viktor Švarõgin</v>
      </c>
      <c r="C309" s="621">
        <v>14</v>
      </c>
    </row>
    <row r="310" spans="1:3" x14ac:dyDescent="0.2">
      <c r="A310" s="449">
        <v>11</v>
      </c>
      <c r="B310" s="450" t="str">
        <f t="shared" si="11"/>
        <v>Aarne Välja, Janek Tarto</v>
      </c>
      <c r="C310" s="621">
        <v>12</v>
      </c>
    </row>
    <row r="311" spans="1:3" x14ac:dyDescent="0.2">
      <c r="A311" s="449">
        <v>12</v>
      </c>
      <c r="B311" s="450" t="str">
        <f>IFERROR(INDEX(B$1:B$87,MATCH(A311,A$1:A$87,0)),"")</f>
        <v>Boriss Klubov, Elmo Lageda</v>
      </c>
      <c r="C311" s="621">
        <v>10</v>
      </c>
    </row>
    <row r="312" spans="1:3" x14ac:dyDescent="0.2">
      <c r="A312" s="449">
        <v>13</v>
      </c>
      <c r="B312" s="450" t="str">
        <f>IFERROR(INDEX(B$1:B$87,MATCH(A312,A$1:A$87,0)),"")</f>
        <v>Heili Vasser, Vello Vasser</v>
      </c>
      <c r="C312" s="621">
        <v>8</v>
      </c>
    </row>
  </sheetData>
  <conditionalFormatting sqref="C8:C20">
    <cfRule type="expression" dxfId="2056" priority="25">
      <formula>IF($C8&gt;$E8,TRUE)</formula>
    </cfRule>
  </conditionalFormatting>
  <conditionalFormatting sqref="E8:E20">
    <cfRule type="expression" dxfId="2055" priority="26">
      <formula>IF($C8&lt;$E8,TRUE)</formula>
    </cfRule>
  </conditionalFormatting>
  <conditionalFormatting sqref="K8:K20">
    <cfRule type="expression" dxfId="2054" priority="33">
      <formula>IF($K8&gt;$M8,TRUE)</formula>
    </cfRule>
  </conditionalFormatting>
  <conditionalFormatting sqref="M8:M20">
    <cfRule type="expression" dxfId="2053" priority="34">
      <formula>IF($K8&lt;$M8,TRUE)</formula>
    </cfRule>
  </conditionalFormatting>
  <conditionalFormatting sqref="O8:O20">
    <cfRule type="expression" dxfId="2052" priority="37">
      <formula>IF($O8&gt;$Q8,TRUE)</formula>
    </cfRule>
  </conditionalFormatting>
  <conditionalFormatting sqref="Q8:Q20">
    <cfRule type="expression" dxfId="2051" priority="38">
      <formula>IF($O8&lt;$Q8,TRUE)</formula>
    </cfRule>
  </conditionalFormatting>
  <conditionalFormatting sqref="S8:S20">
    <cfRule type="expression" dxfId="2050" priority="41">
      <formula>IF($S8&gt;$U8,TRUE)</formula>
    </cfRule>
  </conditionalFormatting>
  <conditionalFormatting sqref="U8:U20">
    <cfRule type="expression" dxfId="2049" priority="42">
      <formula>IF($S8&lt;$U8,TRUE)</formula>
    </cfRule>
  </conditionalFormatting>
  <conditionalFormatting sqref="G8:G20">
    <cfRule type="expression" dxfId="2048" priority="29">
      <formula>IF($G8&gt;$I8,TRUE)</formula>
    </cfRule>
  </conditionalFormatting>
  <conditionalFormatting sqref="I8:I20">
    <cfRule type="expression" dxfId="2047" priority="30">
      <formula>IF($G8&lt;$I8,TRUE)</formula>
    </cfRule>
  </conditionalFormatting>
  <conditionalFormatting sqref="F8:F20">
    <cfRule type="containsText" dxfId="2046" priority="16" operator="containsText" text="vaba voor">
      <formula>NOT(ISERROR(SEARCH("vaba voor",F8)))</formula>
    </cfRule>
  </conditionalFormatting>
  <conditionalFormatting sqref="N8:N20">
    <cfRule type="containsText" dxfId="2045" priority="14" operator="containsText" text="vaba voor">
      <formula>NOT(ISERROR(SEARCH("vaba voor",N8)))</formula>
    </cfRule>
  </conditionalFormatting>
  <conditionalFormatting sqref="R8:R20">
    <cfRule type="containsText" dxfId="2044" priority="17" operator="containsText" text="vaba voor">
      <formula>NOT(ISERROR(SEARCH("vaba voor",R8)))</formula>
    </cfRule>
  </conditionalFormatting>
  <conditionalFormatting sqref="V8:V20">
    <cfRule type="containsText" dxfId="2043" priority="13" operator="containsText" text="vaba voor">
      <formula>NOT(ISERROR(SEARCH("vaba voor",V8)))</formula>
    </cfRule>
  </conditionalFormatting>
  <conditionalFormatting sqref="J8:J20">
    <cfRule type="containsText" dxfId="2042" priority="15" operator="containsText" text="vaba voor">
      <formula>NOT(ISERROR(SEARCH("vaba voor",J8)))</formula>
    </cfRule>
  </conditionalFormatting>
  <conditionalFormatting sqref="C8:F20">
    <cfRule type="expression" dxfId="2041" priority="21">
      <formula>IF(AND(ISNUMBER($C8),$C8=$E8),TRUE)</formula>
    </cfRule>
    <cfRule type="expression" dxfId="2040" priority="23">
      <formula>IF($C8&gt;$E8,TRUE)</formula>
    </cfRule>
    <cfRule type="expression" dxfId="2039" priority="24">
      <formula>IF($C8&lt;$E8,TRUE)</formula>
    </cfRule>
  </conditionalFormatting>
  <conditionalFormatting sqref="G8:J20">
    <cfRule type="expression" dxfId="2038" priority="22">
      <formula>IF(AND(ISNUMBER($G8),$G8=$I8),TRUE)</formula>
    </cfRule>
    <cfRule type="expression" dxfId="2037" priority="27">
      <formula>IF($G8&gt;$I8,TRUE)</formula>
    </cfRule>
    <cfRule type="expression" dxfId="2036" priority="28">
      <formula>IF($G8&lt;$I8,TRUE)</formula>
    </cfRule>
  </conditionalFormatting>
  <conditionalFormatting sqref="K8:N20">
    <cfRule type="expression" dxfId="2035" priority="20">
      <formula>IF(AND(ISNUMBER($K8),$K8=$M8),TRUE)</formula>
    </cfRule>
    <cfRule type="expression" dxfId="2034" priority="31">
      <formula>IF($K8&gt;$M8,TRUE)</formula>
    </cfRule>
    <cfRule type="expression" dxfId="2033" priority="32">
      <formula>IF($K8&lt;$M8,TRUE)</formula>
    </cfRule>
  </conditionalFormatting>
  <conditionalFormatting sqref="O8:R20">
    <cfRule type="expression" dxfId="2032" priority="19">
      <formula>IF(AND(ISNUMBER($O8),$O8=$Q8),TRUE)</formula>
    </cfRule>
    <cfRule type="expression" dxfId="2031" priority="35">
      <formula>IF($O8&gt;$Q8,TRUE)</formula>
    </cfRule>
    <cfRule type="expression" dxfId="2030" priority="36">
      <formula>IF($O8&lt;$Q8,TRUE)</formula>
    </cfRule>
  </conditionalFormatting>
  <conditionalFormatting sqref="S8:V20">
    <cfRule type="expression" dxfId="2029" priority="18">
      <formula>IF(AND(ISNUMBER($S8),$S8=$U8),TRUE)</formula>
    </cfRule>
    <cfRule type="expression" dxfId="2028" priority="39">
      <formula>IF($S8&gt;$U8,TRUE)</formula>
    </cfRule>
    <cfRule type="expression" dxfId="2027" priority="40">
      <formula>IF($S8&lt;$U8,TRUE)</formula>
    </cfRule>
  </conditionalFormatting>
  <conditionalFormatting sqref="C8:C20 G8:G20 K8:K20 O8:O20 S8:S20">
    <cfRule type="expression" dxfId="2026" priority="12">
      <formula>AND(C8=0,E8=13)</formula>
    </cfRule>
  </conditionalFormatting>
  <conditionalFormatting sqref="A8:A20">
    <cfRule type="duplicateValues" dxfId="2025" priority="43"/>
  </conditionalFormatting>
  <conditionalFormatting sqref="A300:A312">
    <cfRule type="duplicateValues" dxfId="2024" priority="44"/>
  </conditionalFormatting>
  <conditionalFormatting sqref="B300:B312">
    <cfRule type="expression" dxfId="2023" priority="45">
      <formula>A300=3</formula>
    </cfRule>
    <cfRule type="expression" dxfId="2022" priority="46">
      <formula>A300=2</formula>
    </cfRule>
    <cfRule type="expression" dxfId="2021" priority="47">
      <formula>A300=1</formula>
    </cfRule>
    <cfRule type="containsBlanks" dxfId="2020" priority="48">
      <formula>LEN(TRIM(B300))=0</formula>
    </cfRule>
    <cfRule type="duplicateValues" dxfId="2019" priority="49"/>
  </conditionalFormatting>
  <conditionalFormatting sqref="AJ6:AJ20">
    <cfRule type="expression" dxfId="2018" priority="5">
      <formula>AND(AI6="",FIND(",",AJ6))</formula>
    </cfRule>
    <cfRule type="expression" dxfId="2017" priority="7">
      <formula>AND(AI6="",COUNTIF(AJ6,"*,*")=0)</formula>
    </cfRule>
  </conditionalFormatting>
  <conditionalFormatting sqref="AH6:AH20">
    <cfRule type="expression" dxfId="2016" priority="8">
      <formula>AND(AG6="",FIND(",",AH6))</formula>
    </cfRule>
    <cfRule type="expression" dxfId="2015" priority="9">
      <formula>AND(AG6="",COUNTIF(AH6,"*,*")=0)</formula>
    </cfRule>
  </conditionalFormatting>
  <conditionalFormatting sqref="AL6:AL20">
    <cfRule type="expression" dxfId="2014" priority="10">
      <formula>AND(AK6="",FIND(",",AL6))</formula>
    </cfRule>
    <cfRule type="expression" dxfId="2013" priority="11">
      <formula>AND(AK6="",COUNTIF(AL6,"*,*")=0)</formula>
    </cfRule>
  </conditionalFormatting>
  <conditionalFormatting sqref="AF6:AF20">
    <cfRule type="expression" dxfId="2012" priority="6">
      <formula>AND(AE6="",COUNTIF(AF6,"*,*")=0)</formula>
    </cfRule>
  </conditionalFormatting>
  <conditionalFormatting sqref="AN6:AN20">
    <cfRule type="expression" dxfId="2011" priority="2">
      <formula>AND(AM6="",COUNTIF(AN6,"*,*")=0)</formula>
    </cfRule>
    <cfRule type="expression" dxfId="2010" priority="4">
      <formula>AND(AM6="",FIND(",",AN6))</formula>
    </cfRule>
  </conditionalFormatting>
  <conditionalFormatting sqref="AP6:AP20">
    <cfRule type="expression" dxfId="2009" priority="1">
      <formula>AND(AO6="",COUNTIF(AP6,"*,*")=0)</formula>
    </cfRule>
    <cfRule type="expression" dxfId="2008" priority="3">
      <formula>AND(AO6="",FIND(",",AP6))</formula>
    </cfRule>
  </conditionalFormatting>
  <pageMargins left="0.51181102362204722" right="0.27559055118110237" top="0.78740157480314965" bottom="0.39370078740157483" header="0.59055118110236227" footer="0"/>
  <pageSetup paperSize="9" fitToHeight="0" orientation="landscape" r:id="rId1"/>
  <headerFooter>
    <oddHeader>&amp;R&amp;9Page &amp;P of &amp;N</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06"/>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45.85546875" bestFit="1" customWidth="1"/>
    <col min="3" max="9" width="5.2851562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7" width="0" hidden="1" customWidth="1"/>
    <col min="29" max="29" width="9.140625" customWidth="1"/>
    <col min="30" max="31" width="9.140625" hidden="1" customWidth="1"/>
    <col min="32" max="32" width="14.85546875" hidden="1" customWidth="1"/>
    <col min="33" max="33" width="9.140625" hidden="1" customWidth="1"/>
    <col min="34" max="34" width="28.85546875" hidden="1" customWidth="1"/>
    <col min="35" max="35" width="9.140625" hidden="1" customWidth="1"/>
    <col min="36" max="36" width="17.28515625" hidden="1" customWidth="1"/>
    <col min="37" max="37" width="9.140625" hidden="1" customWidth="1"/>
    <col min="38" max="38" width="14.5703125" hidden="1" customWidth="1"/>
    <col min="39" max="39" width="9.140625" hidden="1" customWidth="1"/>
    <col min="40" max="40" width="17.28515625" hidden="1" customWidth="1"/>
    <col min="41" max="41" width="0" hidden="1" customWidth="1"/>
    <col min="42" max="42" width="13.85546875" hidden="1" customWidth="1"/>
  </cols>
  <sheetData>
    <row r="1" spans="1:42" x14ac:dyDescent="0.2">
      <c r="A1" s="462" t="str">
        <f>UPPER((Kalend!E28)&amp;" - "&amp;(Kalend!C28)&amp;" - "&amp;(Kalend!D28))</f>
        <v>10 - K-JÄRVE 20. MV - TRIO</v>
      </c>
      <c r="F1" s="405"/>
      <c r="L1" s="406"/>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"&amp;(Kalend!A28)&amp;" kell "&amp;(Kalend!B28)</f>
        <v>Toimumisaeg: N, 15.07.2021 kell 18:00</v>
      </c>
      <c r="O2" s="410"/>
      <c r="AD2" s="409"/>
      <c r="AE2" s="409"/>
      <c r="AF2" s="409"/>
      <c r="AG2" s="409"/>
      <c r="AH2" s="409"/>
      <c r="AI2" s="585"/>
      <c r="AJ2" s="409"/>
      <c r="AK2" s="409"/>
      <c r="AL2" s="409"/>
      <c r="AM2" s="409"/>
      <c r="AN2" s="409"/>
    </row>
    <row r="3" spans="1:42" x14ac:dyDescent="0.2">
      <c r="A3" s="409" t="str">
        <f>"Toimumiskoht: "&amp;(Kalend!F28)</f>
        <v>Toimumiskoht: K-Järve spordihoone</v>
      </c>
      <c r="AD3" s="409"/>
      <c r="AF3" s="409"/>
      <c r="AG3" s="409"/>
      <c r="AH3" s="409"/>
      <c r="AI3" s="409"/>
      <c r="AJ3" s="409"/>
      <c r="AK3" s="409"/>
      <c r="AL3" s="409"/>
      <c r="AM3" s="409"/>
      <c r="AN3" s="409"/>
    </row>
    <row r="4" spans="1:42" x14ac:dyDescent="0.2">
      <c r="A4" s="409" t="str">
        <f>"Korraldaja: "&amp;(Kalend!G28)</f>
        <v>Korraldaja: Ivar Viljaste</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551"/>
      <c r="C6" s="552">
        <v>1</v>
      </c>
      <c r="D6" s="552">
        <v>2</v>
      </c>
      <c r="E6" s="552">
        <v>3</v>
      </c>
      <c r="F6" s="552">
        <v>4</v>
      </c>
      <c r="G6" s="552"/>
      <c r="H6" s="552" t="s">
        <v>288</v>
      </c>
      <c r="I6" s="553" t="s">
        <v>270</v>
      </c>
      <c r="J6" s="554" t="s">
        <v>289</v>
      </c>
      <c r="K6" s="555" t="s">
        <v>290</v>
      </c>
      <c r="L6" s="556" t="s">
        <v>291</v>
      </c>
      <c r="M6" s="556" t="s">
        <v>292</v>
      </c>
      <c r="N6" s="557" t="s">
        <v>293</v>
      </c>
      <c r="O6" s="557" t="s">
        <v>293</v>
      </c>
      <c r="P6" s="589" t="s">
        <v>294</v>
      </c>
      <c r="Q6" s="558" t="s">
        <v>183</v>
      </c>
      <c r="R6" s="558" t="b">
        <f>OR(AND(COUNTA(B7:B11)=3,COUNTA(C7:G11)=6),AND(COUNTA(B7:B11)=4,COUNTA(C7:G11)=12),AND(COUNTA(B7:B11)=5,COUNTA(C7:G11)=20))</f>
        <v>0</v>
      </c>
      <c r="S6" s="559" t="s">
        <v>295</v>
      </c>
      <c r="T6" s="560" t="s">
        <v>296</v>
      </c>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561" t="s">
        <v>478</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AD7" s="458">
        <f t="shared" ref="AD7:AD31" ca="1" si="0">SUM(AE7:AL7)</f>
        <v>411</v>
      </c>
      <c r="AE7" s="459">
        <f ca="1">IFERROR(INDEX(Reit!$I:$I,MATCH(AF7,Reit!$F:$F,0)),"")</f>
        <v>149</v>
      </c>
      <c r="AF7" s="460" t="str">
        <f t="shared" ref="AF7:AF31" si="1">IFERROR(LEFT($B7,(FIND(",",$B7,1)-1)),"")</f>
        <v>Ljudmila Varendi</v>
      </c>
      <c r="AG7" s="459" t="str">
        <f>IFERROR(INDEX(Reit!$I:$I,MATCH(AH7,Reit!$F:$F,0)),"")</f>
        <v/>
      </c>
      <c r="AH7" s="460" t="str">
        <f t="shared" ref="AH7:AH31" si="2">IFERROR(MID($B7,FIND(", ",$B7)+2,256),"")</f>
        <v>Marta Bernat, Viktor Švarõgin</v>
      </c>
      <c r="AI7" s="459">
        <f ca="1">IFERROR(INDEX(Reit!$I:$I,MATCH(AJ7,Reit!$F:$F,0)),"")</f>
        <v>130</v>
      </c>
      <c r="AJ7" s="460" t="str">
        <f t="shared" ref="AJ7:AJ31" si="3">IFERROR(MID($B7,FIND("^",SUBSTITUTE($B7,", ","^",1))+2,FIND("^",SUBSTITUTE($B7,", ","^",2))-FIND("^",SUBSTITUTE($B7,", ","^",1))-2),"")</f>
        <v>Marta Bernat</v>
      </c>
      <c r="AK7" s="459">
        <f ca="1">IFERROR(INDEX(Reit!$I:$I,MATCH(AL7,Reit!$F:$F,0)),"")</f>
        <v>132</v>
      </c>
      <c r="AL7" s="460" t="str">
        <f t="shared" ref="AL7:AL31" si="4">IFERROR(MID($B7,FIND(", ",$B7,FIND(", ",$B7,FIND(", ",$B7))+1)+2,30000),"")</f>
        <v>Viktor Švarõgin</v>
      </c>
      <c r="AM7" s="459" t="str">
        <f>IFERROR(INDEX(Reit!$I:$I,MATCH(AN7,Reit!$F:$F,0)),"")</f>
        <v/>
      </c>
      <c r="AN7" s="460" t="str">
        <f t="shared" ref="AN7:AN31" si="5">IFERROR(MID($B7,FIND(", ",$B7,FIND(", ",$B7)+1)+2,FIND(", ",$B7,FIND(", ",$B7,FIND(", ",$B7)+1)+1)-FIND(", ",$B7,FIND(", ",$B7)+1)-2),"")</f>
        <v/>
      </c>
      <c r="AO7" s="459" t="str">
        <f>IFERROR(INDEX(Reit!$I:$I,MATCH(AP7,Reit!$F:$F,0)),"")</f>
        <v/>
      </c>
      <c r="AP7" s="460" t="str">
        <f t="shared" ref="AP7:AP31" si="6">IFERROR(MID($B7,FIND(", ",$B7,FIND(", ",$B7,FIND(", ",$B7)+1)+1)+2,30000),"")</f>
        <v/>
      </c>
    </row>
    <row r="8" spans="1:42" hidden="1" x14ac:dyDescent="0.2">
      <c r="A8" s="550">
        <v>2</v>
      </c>
      <c r="B8" s="576" t="s">
        <v>451</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AD8" s="458">
        <f t="shared" ca="1" si="0"/>
        <v>652</v>
      </c>
      <c r="AE8" s="459">
        <f ca="1">IFERROR(INDEX(Reit!$I:$I,MATCH(AF8,Reit!$F:$F,0)),"")</f>
        <v>272</v>
      </c>
      <c r="AF8" s="460" t="str">
        <f t="shared" si="1"/>
        <v>Ivar Viljaste</v>
      </c>
      <c r="AG8" s="459" t="str">
        <f>IFERROR(INDEX(Reit!$I:$I,MATCH(AH8,Reit!$F:$F,0)),"")</f>
        <v/>
      </c>
      <c r="AH8" s="460" t="str">
        <f t="shared" si="2"/>
        <v>Kristo Viljaste, Meelis Luud</v>
      </c>
      <c r="AI8" s="459">
        <f ca="1">IFERROR(INDEX(Reit!$I:$I,MATCH(AJ8,Reit!$F:$F,0)),"")</f>
        <v>202</v>
      </c>
      <c r="AJ8" s="460" t="str">
        <f t="shared" si="3"/>
        <v>Kristo Viljaste</v>
      </c>
      <c r="AK8" s="459">
        <f ca="1">IFERROR(INDEX(Reit!$I:$I,MATCH(AL8,Reit!$F:$F,0)),"")</f>
        <v>178</v>
      </c>
      <c r="AL8" s="460" t="str">
        <f t="shared" si="4"/>
        <v>Meelis Luud</v>
      </c>
      <c r="AM8" s="459" t="str">
        <f>IFERROR(INDEX(Reit!$I:$I,MATCH(AN8,Reit!$F:$F,0)),"")</f>
        <v/>
      </c>
      <c r="AN8" s="460" t="str">
        <f t="shared" si="5"/>
        <v/>
      </c>
      <c r="AO8" s="459" t="str">
        <f>IFERROR(INDEX(Reit!$I:$I,MATCH(AP8,Reit!$F:$F,0)),"")</f>
        <v/>
      </c>
      <c r="AP8" s="460" t="str">
        <f t="shared" si="6"/>
        <v/>
      </c>
    </row>
    <row r="9" spans="1:42" hidden="1" x14ac:dyDescent="0.2">
      <c r="A9" s="550">
        <v>3</v>
      </c>
      <c r="B9" s="576" t="s">
        <v>435</v>
      </c>
      <c r="C9" s="564"/>
      <c r="D9" s="580"/>
      <c r="E9" s="562"/>
      <c r="F9" s="564"/>
      <c r="G9" s="564"/>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AD9" s="458">
        <f t="shared" ca="1" si="0"/>
        <v>614</v>
      </c>
      <c r="AE9" s="459">
        <f ca="1">IFERROR(INDEX(Reit!$I:$I,MATCH(AF9,Reit!$F:$F,0)),"")</f>
        <v>197</v>
      </c>
      <c r="AF9" s="460" t="str">
        <f t="shared" si="1"/>
        <v>Andres Veski</v>
      </c>
      <c r="AG9" s="459" t="str">
        <f>IFERROR(INDEX(Reit!$I:$I,MATCH(AH9,Reit!$F:$F,0)),"")</f>
        <v/>
      </c>
      <c r="AH9" s="460" t="str">
        <f t="shared" si="2"/>
        <v>Kaspar Mänd, Svetlana Veski</v>
      </c>
      <c r="AI9" s="459">
        <f ca="1">IFERROR(INDEX(Reit!$I:$I,MATCH(AJ9,Reit!$F:$F,0)),"")</f>
        <v>211</v>
      </c>
      <c r="AJ9" s="460" t="str">
        <f t="shared" si="3"/>
        <v>Kaspar Mänd</v>
      </c>
      <c r="AK9" s="459">
        <f ca="1">IFERROR(INDEX(Reit!$I:$I,MATCH(AL9,Reit!$F:$F,0)),"")</f>
        <v>206</v>
      </c>
      <c r="AL9" s="460" t="str">
        <f t="shared" si="4"/>
        <v>Svetlana Veski</v>
      </c>
      <c r="AM9" s="459" t="str">
        <f>IFERROR(INDEX(Reit!$I:$I,MATCH(AN9,Reit!$F:$F,0)),"")</f>
        <v/>
      </c>
      <c r="AN9" s="460" t="str">
        <f t="shared" si="5"/>
        <v/>
      </c>
      <c r="AO9" s="459" t="str">
        <f>IFERROR(INDEX(Reit!$I:$I,MATCH(AP9,Reit!$F:$F,0)),"")</f>
        <v/>
      </c>
      <c r="AP9" s="460" t="str">
        <f t="shared" si="6"/>
        <v/>
      </c>
    </row>
    <row r="10" spans="1:42" hidden="1" x14ac:dyDescent="0.2">
      <c r="A10" s="550">
        <v>4</v>
      </c>
      <c r="B10" s="581" t="s">
        <v>438</v>
      </c>
      <c r="C10" s="564"/>
      <c r="D10" s="580"/>
      <c r="E10" s="564"/>
      <c r="F10" s="562"/>
      <c r="G10" s="591"/>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AD10" s="458">
        <f t="shared" ca="1" si="0"/>
        <v>594</v>
      </c>
      <c r="AE10" s="459">
        <f ca="1">IFERROR(INDEX(Reit!$I:$I,MATCH(AF10,Reit!$F:$F,0)),"")</f>
        <v>232</v>
      </c>
      <c r="AF10" s="460" t="str">
        <f t="shared" si="1"/>
        <v>Aarne Välja</v>
      </c>
      <c r="AG10" s="459" t="str">
        <f>IFERROR(INDEX(Reit!$I:$I,MATCH(AH10,Reit!$F:$F,0)),"")</f>
        <v/>
      </c>
      <c r="AH10" s="460" t="str">
        <f t="shared" si="2"/>
        <v>Janek Tarto, Oleg Rõndenkov</v>
      </c>
      <c r="AI10" s="459">
        <f ca="1">IFERROR(INDEX(Reit!$I:$I,MATCH(AJ10,Reit!$F:$F,0)),"")</f>
        <v>150</v>
      </c>
      <c r="AJ10" s="460" t="str">
        <f t="shared" si="3"/>
        <v>Janek Tarto</v>
      </c>
      <c r="AK10" s="459">
        <f ca="1">IFERROR(INDEX(Reit!$I:$I,MATCH(AL10,Reit!$F:$F,0)),"")</f>
        <v>212</v>
      </c>
      <c r="AL10" s="460" t="str">
        <f t="shared" si="4"/>
        <v>Oleg Rõndenkov</v>
      </c>
      <c r="AM10" s="459" t="str">
        <f>IFERROR(INDEX(Reit!$I:$I,MATCH(AN10,Reit!$F:$F,0)),"")</f>
        <v/>
      </c>
      <c r="AN10" s="460" t="str">
        <f t="shared" si="5"/>
        <v/>
      </c>
      <c r="AO10" s="459" t="str">
        <f>IFERROR(INDEX(Reit!$I:$I,MATCH(AP10,Reit!$F:$F,0)),"")</f>
        <v/>
      </c>
      <c r="AP10" s="460" t="str">
        <f t="shared" si="6"/>
        <v/>
      </c>
    </row>
    <row r="11" spans="1:42" hidden="1" x14ac:dyDescent="0.2">
      <c r="A11" s="550"/>
      <c r="B11" s="581"/>
      <c r="C11" s="564"/>
      <c r="D11" s="564"/>
      <c r="E11" s="564"/>
      <c r="F11" s="564"/>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c r="AD11" s="458">
        <f t="shared" si="0"/>
        <v>0</v>
      </c>
      <c r="AE11" s="459" t="str">
        <f>IFERROR(INDEX(Reit!$I:$I,MATCH(AF11,Reit!$F:$F,0)),"")</f>
        <v/>
      </c>
      <c r="AF11" s="460" t="str">
        <f t="shared" si="1"/>
        <v/>
      </c>
      <c r="AG11" s="459" t="str">
        <f>IFERROR(INDEX(Reit!$I:$I,MATCH(AH11,Reit!$F:$F,0)),"")</f>
        <v/>
      </c>
      <c r="AH11" s="460" t="str">
        <f t="shared" si="2"/>
        <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hidden="1" x14ac:dyDescent="0.2">
      <c r="A12" s="592"/>
      <c r="B12" s="593"/>
      <c r="C12" s="594"/>
      <c r="D12" s="595"/>
      <c r="E12" s="594"/>
      <c r="F12" s="596"/>
      <c r="G12" s="597"/>
      <c r="H12" s="598"/>
      <c r="I12" s="405"/>
      <c r="J12" s="584"/>
      <c r="K12" s="584"/>
      <c r="L12" s="584"/>
      <c r="M12" s="584"/>
      <c r="N12" s="584"/>
      <c r="O12" s="584"/>
      <c r="P12" s="584"/>
      <c r="Q12" s="584"/>
      <c r="R12" s="588" t="s">
        <v>311</v>
      </c>
      <c r="S12" s="584"/>
      <c r="T12" s="584"/>
      <c r="AD12" s="458">
        <f t="shared" si="0"/>
        <v>0</v>
      </c>
      <c r="AE12" s="459" t="str">
        <f>IFERROR(INDEX(Reit!$I:$I,MATCH(AF12,Reit!$F:$F,0)),"")</f>
        <v/>
      </c>
      <c r="AF12" s="460" t="str">
        <f t="shared" si="1"/>
        <v/>
      </c>
      <c r="AG12" s="459" t="str">
        <f>IFERROR(INDEX(Reit!$I:$I,MATCH(AH12,Reit!$F:$F,0)),"")</f>
        <v/>
      </c>
      <c r="AH12" s="460" t="str">
        <f t="shared" si="2"/>
        <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hidden="1" x14ac:dyDescent="0.2">
      <c r="A13" s="550" t="s">
        <v>201</v>
      </c>
      <c r="B13" s="551"/>
      <c r="C13" s="552">
        <v>1</v>
      </c>
      <c r="D13" s="552">
        <v>2</v>
      </c>
      <c r="E13" s="552">
        <v>3</v>
      </c>
      <c r="F13" s="552">
        <v>4</v>
      </c>
      <c r="G13" s="552"/>
      <c r="H13" s="553" t="s">
        <v>288</v>
      </c>
      <c r="I13" s="553" t="s">
        <v>270</v>
      </c>
      <c r="J13" s="554" t="s">
        <v>289</v>
      </c>
      <c r="K13" s="555" t="s">
        <v>290</v>
      </c>
      <c r="L13" s="556" t="s">
        <v>291</v>
      </c>
      <c r="M13" s="556" t="s">
        <v>292</v>
      </c>
      <c r="N13" s="557" t="s">
        <v>293</v>
      </c>
      <c r="O13" s="557" t="s">
        <v>293</v>
      </c>
      <c r="P13" s="589" t="s">
        <v>294</v>
      </c>
      <c r="Q13" s="558" t="s">
        <v>183</v>
      </c>
      <c r="R13" s="558" t="b">
        <f>OR(AND(COUNTA(B14:B18)=3,COUNTA(C14:G18)=6),AND(COUNTA(B14:B18)=4,COUNTA(C14:G18)=12),AND(COUNTA(B14:B18)=5,COUNTA(C14:G18)=20))</f>
        <v>0</v>
      </c>
      <c r="S13" s="559" t="s">
        <v>295</v>
      </c>
      <c r="T13" s="560" t="s">
        <v>296</v>
      </c>
      <c r="AD13" s="458">
        <f t="shared" si="0"/>
        <v>0</v>
      </c>
      <c r="AE13" s="459" t="str">
        <f>IFERROR(INDEX(Reit!$I:$I,MATCH(AF13,Reit!$F:$F,0)),"")</f>
        <v/>
      </c>
      <c r="AF13" s="460" t="str">
        <f t="shared" si="1"/>
        <v/>
      </c>
      <c r="AG13" s="459" t="str">
        <f>IFERROR(INDEX(Reit!$I:$I,MATCH(AH13,Reit!$F:$F,0)),"")</f>
        <v/>
      </c>
      <c r="AH13" s="460" t="str">
        <f t="shared" si="2"/>
        <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hidden="1" x14ac:dyDescent="0.2">
      <c r="A14" s="550">
        <v>1</v>
      </c>
      <c r="B14" s="534" t="s">
        <v>479</v>
      </c>
      <c r="C14" s="562"/>
      <c r="D14" s="564"/>
      <c r="E14" s="564"/>
      <c r="F14" s="564"/>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AD14" s="458">
        <f t="shared" ca="1" si="0"/>
        <v>715</v>
      </c>
      <c r="AE14" s="459">
        <f ca="1">IFERROR(INDEX(Reit!$I:$I,MATCH(AF14,Reit!$F:$F,0)),"")</f>
        <v>286</v>
      </c>
      <c r="AF14" s="460" t="str">
        <f t="shared" si="1"/>
        <v>Henri Mitt</v>
      </c>
      <c r="AG14" s="459" t="str">
        <f>IFERROR(INDEX(Reit!$I:$I,MATCH(AH14,Reit!$F:$F,0)),"")</f>
        <v/>
      </c>
      <c r="AH14" s="460" t="str">
        <f t="shared" si="2"/>
        <v>Kenneth Muusikus, Sander Rose</v>
      </c>
      <c r="AI14" s="459">
        <f ca="1">IFERROR(INDEX(Reit!$I:$I,MATCH(AJ14,Reit!$F:$F,0)),"")</f>
        <v>273</v>
      </c>
      <c r="AJ14" s="460" t="str">
        <f t="shared" si="3"/>
        <v>Kenneth Muusikus</v>
      </c>
      <c r="AK14" s="459">
        <f ca="1">IFERROR(INDEX(Reit!$I:$I,MATCH(AL14,Reit!$F:$F,0)),"")</f>
        <v>156</v>
      </c>
      <c r="AL14" s="460" t="str">
        <f t="shared" si="4"/>
        <v>Sander Rose</v>
      </c>
      <c r="AM14" s="459" t="str">
        <f>IFERROR(INDEX(Reit!$I:$I,MATCH(AN14,Reit!$F:$F,0)),"")</f>
        <v/>
      </c>
      <c r="AN14" s="460" t="str">
        <f t="shared" si="5"/>
        <v/>
      </c>
      <c r="AO14" s="459" t="str">
        <f>IFERROR(INDEX(Reit!$I:$I,MATCH(AP14,Reit!$F:$F,0)),"")</f>
        <v/>
      </c>
      <c r="AP14" s="460" t="str">
        <f t="shared" si="6"/>
        <v/>
      </c>
    </row>
    <row r="15" spans="1:42" hidden="1" x14ac:dyDescent="0.2">
      <c r="A15" s="550">
        <v>2</v>
      </c>
      <c r="B15" s="561" t="s">
        <v>480</v>
      </c>
      <c r="C15" s="564"/>
      <c r="D15" s="562"/>
      <c r="E15" s="564"/>
      <c r="F15" s="564"/>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AD15" s="458">
        <f t="shared" ca="1" si="0"/>
        <v>472</v>
      </c>
      <c r="AE15" s="459">
        <f ca="1">IFERROR(INDEX(Reit!$I:$I,MATCH(AF15,Reit!$F:$F,0)),"")</f>
        <v>248</v>
      </c>
      <c r="AF15" s="460" t="str">
        <f t="shared" si="1"/>
        <v>Jaan Sepp</v>
      </c>
      <c r="AG15" s="459" t="str">
        <f>IFERROR(INDEX(Reit!$I:$I,MATCH(AH15,Reit!$F:$F,0)),"")</f>
        <v/>
      </c>
      <c r="AH15" s="460" t="str">
        <f t="shared" si="2"/>
        <v>Lemmit Toomra, Tõnu Kapper</v>
      </c>
      <c r="AI15" s="459">
        <f ca="1">IFERROR(INDEX(Reit!$I:$I,MATCH(AJ15,Reit!$F:$F,0)),"")</f>
        <v>92</v>
      </c>
      <c r="AJ15" s="460" t="str">
        <f t="shared" si="3"/>
        <v>Lemmit Toomra</v>
      </c>
      <c r="AK15" s="459">
        <f ca="1">IFERROR(INDEX(Reit!$I:$I,MATCH(AL15,Reit!$F:$F,0)),"")</f>
        <v>132</v>
      </c>
      <c r="AL15" s="460" t="str">
        <f t="shared" si="4"/>
        <v>Tõnu Kapper</v>
      </c>
      <c r="AM15" s="459" t="str">
        <f>IFERROR(INDEX(Reit!$I:$I,MATCH(AN15,Reit!$F:$F,0)),"")</f>
        <v/>
      </c>
      <c r="AN15" s="460" t="str">
        <f t="shared" si="5"/>
        <v/>
      </c>
      <c r="AO15" s="459" t="str">
        <f>IFERROR(INDEX(Reit!$I:$I,MATCH(AP15,Reit!$F:$F,0)),"")</f>
        <v/>
      </c>
      <c r="AP15" s="460" t="str">
        <f t="shared" si="6"/>
        <v/>
      </c>
    </row>
    <row r="16" spans="1:42" hidden="1" x14ac:dyDescent="0.2">
      <c r="A16" s="550">
        <v>3</v>
      </c>
      <c r="B16" s="576" t="s">
        <v>455</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AD16" s="458">
        <f t="shared" ca="1" si="0"/>
        <v>518</v>
      </c>
      <c r="AE16" s="459">
        <f ca="1">IFERROR(INDEX(Reit!$I:$I,MATCH(AF16,Reit!$F:$F,0)),"")</f>
        <v>174</v>
      </c>
      <c r="AF16" s="460" t="str">
        <f t="shared" si="1"/>
        <v>Andrei Grintšak</v>
      </c>
      <c r="AG16" s="459" t="str">
        <f>IFERROR(INDEX(Reit!$I:$I,MATCH(AH16,Reit!$F:$F,0)),"")</f>
        <v/>
      </c>
      <c r="AH16" s="460" t="str">
        <f t="shared" si="2"/>
        <v>Boriss Klubov, Elmo Lageda</v>
      </c>
      <c r="AI16" s="459">
        <f ca="1">IFERROR(INDEX(Reit!$I:$I,MATCH(AJ16,Reit!$F:$F,0)),"")</f>
        <v>185</v>
      </c>
      <c r="AJ16" s="460" t="str">
        <f t="shared" si="3"/>
        <v>Boriss Klubov</v>
      </c>
      <c r="AK16" s="459">
        <f ca="1">IFERROR(INDEX(Reit!$I:$I,MATCH(AL16,Reit!$F:$F,0)),"")</f>
        <v>159</v>
      </c>
      <c r="AL16" s="460" t="str">
        <f t="shared" si="4"/>
        <v>Elmo Lageda</v>
      </c>
      <c r="AM16" s="459" t="str">
        <f>IFERROR(INDEX(Reit!$I:$I,MATCH(AN16,Reit!$F:$F,0)),"")</f>
        <v/>
      </c>
      <c r="AN16" s="460" t="str">
        <f t="shared" si="5"/>
        <v/>
      </c>
      <c r="AO16" s="459" t="str">
        <f>IFERROR(INDEX(Reit!$I:$I,MATCH(AP16,Reit!$F:$F,0)),"")</f>
        <v/>
      </c>
      <c r="AP16" s="460" t="str">
        <f t="shared" si="6"/>
        <v/>
      </c>
    </row>
    <row r="17" spans="1:42" hidden="1" x14ac:dyDescent="0.2">
      <c r="A17" s="550">
        <v>4</v>
      </c>
      <c r="B17" s="581"/>
      <c r="C17" s="564"/>
      <c r="D17" s="580"/>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AD17" s="458">
        <f t="shared" si="0"/>
        <v>0</v>
      </c>
      <c r="AE17" s="459" t="str">
        <f>IFERROR(INDEX(Reit!$I:$I,MATCH(AF17,Reit!$F:$F,0)),"")</f>
        <v/>
      </c>
      <c r="AF17" s="460" t="str">
        <f t="shared" si="1"/>
        <v/>
      </c>
      <c r="AG17" s="459" t="str">
        <f>IFERROR(INDEX(Reit!$I:$I,MATCH(AH17,Reit!$F:$F,0)),"")</f>
        <v/>
      </c>
      <c r="AH17" s="460" t="str">
        <f t="shared" si="2"/>
        <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hidden="1" x14ac:dyDescent="0.2">
      <c r="A18" s="550"/>
      <c r="B18" s="581"/>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AD18" s="458">
        <f t="shared" si="0"/>
        <v>0</v>
      </c>
      <c r="AE18" s="459" t="str">
        <f>IFERROR(INDEX(Reit!$I:$I,MATCH(AF18,Reit!$F:$F,0)),"")</f>
        <v/>
      </c>
      <c r="AF18" s="460" t="str">
        <f t="shared" si="1"/>
        <v/>
      </c>
      <c r="AG18" s="459" t="str">
        <f>IFERROR(INDEX(Reit!$I:$I,MATCH(AH18,Reit!$F:$F,0)),"")</f>
        <v/>
      </c>
      <c r="AH18" s="460" t="str">
        <f t="shared" si="2"/>
        <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D19" s="458">
        <f t="shared" si="0"/>
        <v>0</v>
      </c>
      <c r="AE19" s="459" t="str">
        <f>IFERROR(INDEX(Reit!$I:$I,MATCH(AF19,Reit!$F:$F,0)),"")</f>
        <v/>
      </c>
      <c r="AF19" s="460" t="str">
        <f t="shared" si="1"/>
        <v/>
      </c>
      <c r="AG19" s="459" t="str">
        <f>IFERROR(INDEX(Reit!$I:$I,MATCH(AH19,Reit!$F:$F,0)),"")</f>
        <v/>
      </c>
      <c r="AH19" s="460" t="str">
        <f t="shared" si="2"/>
        <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hidden="1" x14ac:dyDescent="0.2">
      <c r="B20" s="599" t="s">
        <v>238</v>
      </c>
      <c r="C20" s="600" t="s">
        <v>303</v>
      </c>
      <c r="D20" s="601"/>
      <c r="E20" s="597"/>
      <c r="G20" s="597"/>
      <c r="AD20" s="458">
        <f t="shared" si="0"/>
        <v>0</v>
      </c>
      <c r="AE20" s="459" t="str">
        <f>IFERROR(INDEX(Reit!$I:$I,MATCH(AF20,Reit!$F:$F,0)),"")</f>
        <v/>
      </c>
      <c r="AF20" s="460" t="str">
        <f t="shared" si="1"/>
        <v/>
      </c>
      <c r="AG20" s="459" t="str">
        <f>IFERROR(INDEX(Reit!$I:$I,MATCH(AH20,Reit!$F:$F,0)),"")</f>
        <v/>
      </c>
      <c r="AH20" s="460" t="str">
        <f t="shared" si="2"/>
        <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B21" s="599" t="s">
        <v>239</v>
      </c>
      <c r="C21" s="600" t="s">
        <v>305</v>
      </c>
      <c r="D21" s="597"/>
      <c r="E21" s="597"/>
      <c r="G21" s="597"/>
      <c r="AD21" s="458">
        <f t="shared" si="0"/>
        <v>0</v>
      </c>
      <c r="AE21" s="459" t="str">
        <f>IFERROR(INDEX(Reit!$I:$I,MATCH(AF21,Reit!$F:$F,0)),"")</f>
        <v/>
      </c>
      <c r="AF21" s="460" t="str">
        <f t="shared" si="1"/>
        <v/>
      </c>
      <c r="AG21" s="459" t="str">
        <f>IFERROR(INDEX(Reit!$I:$I,MATCH(AH21,Reit!$F:$F,0)),"")</f>
        <v/>
      </c>
      <c r="AH21" s="460" t="str">
        <f t="shared" si="2"/>
        <v/>
      </c>
      <c r="AI21" s="459" t="str">
        <f>IFERROR(INDEX(Reit!$I:$I,MATCH(AJ21,Reit!$F:$F,0)),"")</f>
        <v/>
      </c>
      <c r="AJ21" s="460" t="str">
        <f t="shared" si="3"/>
        <v/>
      </c>
      <c r="AK21" s="459" t="str">
        <f>IFERROR(INDEX(Reit!$I:$I,MATCH(AL21,Reit!$F:$F,0)),"")</f>
        <v/>
      </c>
      <c r="AL21" s="460" t="str">
        <f t="shared" si="4"/>
        <v/>
      </c>
      <c r="AM21" s="459" t="str">
        <f>IFERROR(INDEX(Reit!$I:$I,MATCH(AN21,Reit!$F:$F,0)),"")</f>
        <v/>
      </c>
      <c r="AN21" s="460" t="str">
        <f t="shared" si="5"/>
        <v/>
      </c>
      <c r="AO21" s="459" t="str">
        <f>IFERROR(INDEX(Reit!$I:$I,MATCH(AP21,Reit!$F:$F,0)),"")</f>
        <v/>
      </c>
      <c r="AP21" s="460" t="str">
        <f t="shared" si="6"/>
        <v/>
      </c>
    </row>
    <row r="22" spans="1:42" hidden="1" x14ac:dyDescent="0.2">
      <c r="B22" s="599" t="s">
        <v>240</v>
      </c>
      <c r="C22" s="600" t="s">
        <v>302</v>
      </c>
      <c r="D22" s="597"/>
      <c r="E22" s="597"/>
      <c r="G22" s="597"/>
      <c r="AD22" s="458">
        <f t="shared" si="0"/>
        <v>0</v>
      </c>
      <c r="AE22" s="459" t="str">
        <f>IFERROR(INDEX(Reit!$I:$I,MATCH(AF22,Reit!$F:$F,0)),"")</f>
        <v/>
      </c>
      <c r="AF22" s="460" t="str">
        <f t="shared" si="1"/>
        <v/>
      </c>
      <c r="AG22" s="459" t="str">
        <f>IFERROR(INDEX(Reit!$I:$I,MATCH(AH22,Reit!$F:$F,0)),"")</f>
        <v/>
      </c>
      <c r="AH22" s="460" t="str">
        <f t="shared" si="2"/>
        <v/>
      </c>
      <c r="AI22" s="459" t="str">
        <f>IFERROR(INDEX(Reit!$I:$I,MATCH(AJ22,Reit!$F:$F,0)),"")</f>
        <v/>
      </c>
      <c r="AJ22" s="460" t="str">
        <f t="shared" si="3"/>
        <v/>
      </c>
      <c r="AK22" s="459" t="str">
        <f>IFERROR(INDEX(Reit!$I:$I,MATCH(AL22,Reit!$F:$F,0)),"")</f>
        <v/>
      </c>
      <c r="AL22" s="460" t="str">
        <f t="shared" si="4"/>
        <v/>
      </c>
      <c r="AM22" s="459" t="str">
        <f>IFERROR(INDEX(Reit!$I:$I,MATCH(AN22,Reit!$F:$F,0)),"")</f>
        <v/>
      </c>
      <c r="AN22" s="460" t="str">
        <f t="shared" si="5"/>
        <v/>
      </c>
      <c r="AO22" s="459" t="str">
        <f>IFERROR(INDEX(Reit!$I:$I,MATCH(AP22,Reit!$F:$F,0)),"")</f>
        <v/>
      </c>
      <c r="AP22" s="460" t="str">
        <f t="shared" si="6"/>
        <v/>
      </c>
    </row>
    <row r="23" spans="1:42" hidden="1" x14ac:dyDescent="0.2">
      <c r="B23" s="597"/>
      <c r="C23" s="597"/>
      <c r="D23" s="597"/>
      <c r="E23" s="597"/>
      <c r="F23" s="597"/>
      <c r="G23" s="597"/>
    </row>
    <row r="24" spans="1:42" hidden="1" x14ac:dyDescent="0.2">
      <c r="B24" s="599" t="s">
        <v>238</v>
      </c>
      <c r="C24" s="600" t="s">
        <v>301</v>
      </c>
      <c r="D24" s="600" t="s">
        <v>302</v>
      </c>
      <c r="E24" s="597"/>
      <c r="F24" s="597"/>
      <c r="G24" s="597"/>
    </row>
    <row r="25" spans="1:42" hidden="1" x14ac:dyDescent="0.2">
      <c r="B25" s="599" t="s">
        <v>239</v>
      </c>
      <c r="C25" s="600" t="s">
        <v>303</v>
      </c>
      <c r="D25" s="600" t="s">
        <v>300</v>
      </c>
      <c r="E25" s="597"/>
      <c r="F25" s="597"/>
      <c r="G25" s="597"/>
    </row>
    <row r="26" spans="1:42" hidden="1" x14ac:dyDescent="0.2">
      <c r="A26" s="399"/>
      <c r="B26" s="895" t="s">
        <v>240</v>
      </c>
      <c r="C26" s="896" t="s">
        <v>305</v>
      </c>
      <c r="D26" s="896" t="s">
        <v>298</v>
      </c>
      <c r="E26" s="897"/>
      <c r="F26" s="897"/>
      <c r="G26" s="897"/>
    </row>
    <row r="27" spans="1:42" hidden="1" x14ac:dyDescent="0.2">
      <c r="A27" s="399"/>
      <c r="B27" s="898"/>
      <c r="C27" s="899"/>
      <c r="D27" s="899"/>
      <c r="E27" s="897"/>
      <c r="F27" s="897"/>
      <c r="G27" s="897"/>
      <c r="AD27" s="458">
        <f t="shared" si="0"/>
        <v>0</v>
      </c>
      <c r="AE27" s="459" t="str">
        <f>IFERROR(INDEX(Reit!$I:$I,MATCH(AF27,Reit!$F:$F,0)),"")</f>
        <v/>
      </c>
      <c r="AF27" s="460" t="str">
        <f t="shared" si="1"/>
        <v/>
      </c>
      <c r="AG27" s="459" t="str">
        <f>IFERROR(INDEX(Reit!$I:$I,MATCH(AH27,Reit!$F:$F,0)),"")</f>
        <v/>
      </c>
      <c r="AH27" s="460" t="str">
        <f t="shared" si="2"/>
        <v/>
      </c>
      <c r="AI27" s="459" t="str">
        <f>IFERROR(INDEX(Reit!$I:$I,MATCH(AJ27,Reit!$F:$F,0)),"")</f>
        <v/>
      </c>
      <c r="AJ27" s="460" t="str">
        <f t="shared" si="3"/>
        <v/>
      </c>
      <c r="AK27" s="459" t="str">
        <f>IFERROR(INDEX(Reit!$I:$I,MATCH(AL27,Reit!$F:$F,0)),"")</f>
        <v/>
      </c>
      <c r="AL27" s="460" t="str">
        <f t="shared" si="4"/>
        <v/>
      </c>
      <c r="AM27" s="459" t="str">
        <f>IFERROR(INDEX(Reit!$I:$I,MATCH(AN27,Reit!$F:$F,0)),"")</f>
        <v/>
      </c>
      <c r="AN27" s="460" t="str">
        <f t="shared" si="5"/>
        <v/>
      </c>
      <c r="AO27" s="459" t="str">
        <f>IFERROR(INDEX(Reit!$I:$I,MATCH(AP27,Reit!$F:$F,0)),"")</f>
        <v/>
      </c>
      <c r="AP27" s="460" t="str">
        <f t="shared" si="6"/>
        <v/>
      </c>
    </row>
    <row r="28" spans="1:42" hidden="1" x14ac:dyDescent="0.2">
      <c r="A28" s="399"/>
      <c r="B28" s="895" t="s">
        <v>238</v>
      </c>
      <c r="C28" s="896" t="s">
        <v>299</v>
      </c>
      <c r="D28" s="896" t="s">
        <v>300</v>
      </c>
      <c r="E28" s="897"/>
      <c r="F28" s="399"/>
      <c r="G28" s="399"/>
      <c r="AD28" s="458">
        <f t="shared" si="0"/>
        <v>0</v>
      </c>
      <c r="AE28" s="459" t="str">
        <f>IFERROR(INDEX(Reit!$I:$I,MATCH(AF28,Reit!$F:$F,0)),"")</f>
        <v/>
      </c>
      <c r="AF28" s="460" t="str">
        <f t="shared" si="1"/>
        <v/>
      </c>
      <c r="AG28" s="459" t="str">
        <f>IFERROR(INDEX(Reit!$I:$I,MATCH(AH28,Reit!$F:$F,0)),"")</f>
        <v/>
      </c>
      <c r="AH28" s="460" t="str">
        <f t="shared" si="2"/>
        <v/>
      </c>
      <c r="AI28" s="459" t="str">
        <f>IFERROR(INDEX(Reit!$I:$I,MATCH(AJ28,Reit!$F:$F,0)),"")</f>
        <v/>
      </c>
      <c r="AJ28" s="460" t="str">
        <f t="shared" si="3"/>
        <v/>
      </c>
      <c r="AK28" s="459" t="str">
        <f>IFERROR(INDEX(Reit!$I:$I,MATCH(AL28,Reit!$F:$F,0)),"")</f>
        <v/>
      </c>
      <c r="AL28" s="460" t="str">
        <f t="shared" si="4"/>
        <v/>
      </c>
      <c r="AM28" s="459" t="str">
        <f>IFERROR(INDEX(Reit!$I:$I,MATCH(AN28,Reit!$F:$F,0)),"")</f>
        <v/>
      </c>
      <c r="AN28" s="460" t="str">
        <f t="shared" si="5"/>
        <v/>
      </c>
      <c r="AO28" s="459" t="str">
        <f>IFERROR(INDEX(Reit!$I:$I,MATCH(AP28,Reit!$F:$F,0)),"")</f>
        <v/>
      </c>
      <c r="AP28" s="460" t="str">
        <f t="shared" si="6"/>
        <v/>
      </c>
    </row>
    <row r="29" spans="1:42" hidden="1" x14ac:dyDescent="0.2">
      <c r="A29" s="399"/>
      <c r="B29" s="895" t="s">
        <v>239</v>
      </c>
      <c r="C29" s="896" t="s">
        <v>301</v>
      </c>
      <c r="D29" s="896" t="s">
        <v>302</v>
      </c>
      <c r="E29" s="897"/>
      <c r="F29" s="399"/>
      <c r="G29" s="399"/>
      <c r="AD29" s="458">
        <f t="shared" si="0"/>
        <v>0</v>
      </c>
      <c r="AE29" s="459" t="str">
        <f>IFERROR(INDEX(Reit!$I:$I,MATCH(AF29,Reit!$F:$F,0)),"")</f>
        <v/>
      </c>
      <c r="AF29" s="460" t="str">
        <f t="shared" si="1"/>
        <v/>
      </c>
      <c r="AG29" s="459" t="str">
        <f>IFERROR(INDEX(Reit!$I:$I,MATCH(AH29,Reit!$F:$F,0)),"")</f>
        <v/>
      </c>
      <c r="AH29" s="460" t="str">
        <f t="shared" si="2"/>
        <v/>
      </c>
      <c r="AI29" s="459" t="str">
        <f>IFERROR(INDEX(Reit!$I:$I,MATCH(AJ29,Reit!$F:$F,0)),"")</f>
        <v/>
      </c>
      <c r="AJ29" s="460" t="str">
        <f t="shared" si="3"/>
        <v/>
      </c>
      <c r="AK29" s="459" t="str">
        <f>IFERROR(INDEX(Reit!$I:$I,MATCH(AL29,Reit!$F:$F,0)),"")</f>
        <v/>
      </c>
      <c r="AL29" s="460" t="str">
        <f t="shared" si="4"/>
        <v/>
      </c>
      <c r="AM29" s="459" t="str">
        <f>IFERROR(INDEX(Reit!$I:$I,MATCH(AN29,Reit!$F:$F,0)),"")</f>
        <v/>
      </c>
      <c r="AN29" s="460" t="str">
        <f t="shared" si="5"/>
        <v/>
      </c>
      <c r="AO29" s="459" t="str">
        <f>IFERROR(INDEX(Reit!$I:$I,MATCH(AP29,Reit!$F:$F,0)),"")</f>
        <v/>
      </c>
      <c r="AP29" s="460" t="str">
        <f t="shared" si="6"/>
        <v/>
      </c>
    </row>
    <row r="30" spans="1:42" hidden="1" x14ac:dyDescent="0.2">
      <c r="A30" s="399"/>
      <c r="B30" s="895" t="s">
        <v>240</v>
      </c>
      <c r="C30" s="896" t="s">
        <v>303</v>
      </c>
      <c r="D30" s="896" t="s">
        <v>304</v>
      </c>
      <c r="E30" s="897"/>
      <c r="F30" s="399"/>
      <c r="G30" s="399"/>
      <c r="AD30" s="458">
        <f t="shared" si="0"/>
        <v>0</v>
      </c>
      <c r="AE30" s="459" t="str">
        <f>IFERROR(INDEX(Reit!$I:$I,MATCH(AF30,Reit!$F:$F,0)),"")</f>
        <v/>
      </c>
      <c r="AF30" s="460" t="str">
        <f t="shared" si="1"/>
        <v/>
      </c>
      <c r="AG30" s="459" t="str">
        <f>IFERROR(INDEX(Reit!$I:$I,MATCH(AH30,Reit!$F:$F,0)),"")</f>
        <v/>
      </c>
      <c r="AH30" s="460" t="str">
        <f t="shared" si="2"/>
        <v/>
      </c>
      <c r="AI30" s="459" t="str">
        <f>IFERROR(INDEX(Reit!$I:$I,MATCH(AJ30,Reit!$F:$F,0)),"")</f>
        <v/>
      </c>
      <c r="AJ30" s="460" t="str">
        <f t="shared" si="3"/>
        <v/>
      </c>
      <c r="AK30" s="459" t="str">
        <f>IFERROR(INDEX(Reit!$I:$I,MATCH(AL30,Reit!$F:$F,0)),"")</f>
        <v/>
      </c>
      <c r="AL30" s="460" t="str">
        <f t="shared" si="4"/>
        <v/>
      </c>
      <c r="AM30" s="459" t="str">
        <f>IFERROR(INDEX(Reit!$I:$I,MATCH(AN30,Reit!$F:$F,0)),"")</f>
        <v/>
      </c>
      <c r="AN30" s="460" t="str">
        <f t="shared" si="5"/>
        <v/>
      </c>
      <c r="AO30" s="459" t="str">
        <f>IFERROR(INDEX(Reit!$I:$I,MATCH(AP30,Reit!$F:$F,0)),"")</f>
        <v/>
      </c>
      <c r="AP30" s="460" t="str">
        <f t="shared" si="6"/>
        <v/>
      </c>
    </row>
    <row r="31" spans="1:42" hidden="1" x14ac:dyDescent="0.2">
      <c r="A31" s="399"/>
      <c r="B31" s="895" t="s">
        <v>241</v>
      </c>
      <c r="C31" s="900" t="s">
        <v>305</v>
      </c>
      <c r="D31" s="896" t="s">
        <v>306</v>
      </c>
      <c r="E31" s="897"/>
      <c r="F31" s="399"/>
      <c r="G31" s="399"/>
      <c r="AD31" s="458">
        <f t="shared" si="0"/>
        <v>0</v>
      </c>
      <c r="AE31" s="459" t="str">
        <f>IFERROR(INDEX(Reit!$I:$I,MATCH(AF31,Reit!$F:$F,0)),"")</f>
        <v/>
      </c>
      <c r="AF31" s="460" t="str">
        <f t="shared" si="1"/>
        <v/>
      </c>
      <c r="AG31" s="459" t="str">
        <f>IFERROR(INDEX(Reit!$I:$I,MATCH(AH31,Reit!$F:$F,0)),"")</f>
        <v/>
      </c>
      <c r="AH31" s="460" t="str">
        <f t="shared" si="2"/>
        <v/>
      </c>
      <c r="AI31" s="459" t="str">
        <f>IFERROR(INDEX(Reit!$I:$I,MATCH(AJ31,Reit!$F:$F,0)),"")</f>
        <v/>
      </c>
      <c r="AJ31" s="460" t="str">
        <f t="shared" si="3"/>
        <v/>
      </c>
      <c r="AK31" s="459" t="str">
        <f>IFERROR(INDEX(Reit!$I:$I,MATCH(AL31,Reit!$F:$F,0)),"")</f>
        <v/>
      </c>
      <c r="AL31" s="460" t="str">
        <f t="shared" si="4"/>
        <v/>
      </c>
      <c r="AM31" s="459" t="str">
        <f>IFERROR(INDEX(Reit!$I:$I,MATCH(AN31,Reit!$F:$F,0)),"")</f>
        <v/>
      </c>
      <c r="AN31" s="460" t="str">
        <f t="shared" si="5"/>
        <v/>
      </c>
      <c r="AO31" s="459" t="str">
        <f>IFERROR(INDEX(Reit!$I:$I,MATCH(AP31,Reit!$F:$F,0)),"")</f>
        <v/>
      </c>
      <c r="AP31" s="460" t="str">
        <f t="shared" si="6"/>
        <v/>
      </c>
    </row>
    <row r="32" spans="1:42" hidden="1" x14ac:dyDescent="0.2">
      <c r="A32" s="399"/>
      <c r="B32" s="895" t="s">
        <v>242</v>
      </c>
      <c r="C32" s="896" t="s">
        <v>297</v>
      </c>
      <c r="D32" s="896" t="s">
        <v>298</v>
      </c>
      <c r="E32" s="897"/>
      <c r="F32" s="399"/>
      <c r="G32" s="399"/>
    </row>
    <row r="33" spans="1:7" hidden="1" x14ac:dyDescent="0.2">
      <c r="A33" s="399"/>
      <c r="B33" s="399"/>
      <c r="C33" s="399"/>
      <c r="D33" s="399"/>
      <c r="E33" s="399"/>
      <c r="F33" s="399"/>
      <c r="G33" s="399"/>
    </row>
    <row r="34" spans="1:7" hidden="1" x14ac:dyDescent="0.2">
      <c r="A34" s="399"/>
      <c r="B34" s="399"/>
      <c r="C34" s="399"/>
      <c r="D34" s="399"/>
      <c r="E34" s="399"/>
      <c r="F34" s="399"/>
      <c r="G34" s="399"/>
    </row>
    <row r="35" spans="1:7" hidden="1" x14ac:dyDescent="0.2">
      <c r="A35" s="399"/>
      <c r="B35" s="399"/>
      <c r="C35" s="399"/>
      <c r="D35" s="399"/>
      <c r="E35" s="399"/>
      <c r="F35" s="399"/>
      <c r="G35" s="399"/>
    </row>
    <row r="36" spans="1:7" hidden="1" x14ac:dyDescent="0.2">
      <c r="A36" s="399"/>
      <c r="B36" s="399"/>
      <c r="C36" s="399"/>
      <c r="D36" s="399"/>
      <c r="E36" s="399"/>
      <c r="F36" s="399"/>
      <c r="G36" s="399"/>
    </row>
    <row r="37" spans="1:7" hidden="1" x14ac:dyDescent="0.2">
      <c r="A37" s="399"/>
      <c r="B37" s="399"/>
      <c r="C37" s="399"/>
      <c r="D37" s="399"/>
      <c r="E37" s="399"/>
      <c r="F37" s="399"/>
      <c r="G37" s="399"/>
    </row>
    <row r="38" spans="1:7" hidden="1" x14ac:dyDescent="0.2">
      <c r="A38" s="399"/>
      <c r="B38" s="399"/>
      <c r="C38" s="399"/>
      <c r="D38" s="399"/>
      <c r="E38" s="399"/>
      <c r="F38" s="399"/>
      <c r="G38" s="399"/>
    </row>
    <row r="39" spans="1:7" hidden="1" x14ac:dyDescent="0.2">
      <c r="A39" s="399"/>
      <c r="B39" s="399"/>
      <c r="C39" s="399"/>
      <c r="D39" s="399"/>
      <c r="E39" s="399"/>
      <c r="F39" s="399"/>
      <c r="G39" s="399"/>
    </row>
    <row r="40" spans="1:7" hidden="1" x14ac:dyDescent="0.2">
      <c r="A40" s="399"/>
      <c r="B40" s="399"/>
      <c r="C40" s="399"/>
      <c r="D40" s="399"/>
      <c r="E40" s="399"/>
      <c r="F40" s="399"/>
      <c r="G40" s="399"/>
    </row>
    <row r="41" spans="1:7" hidden="1" x14ac:dyDescent="0.2">
      <c r="A41" s="399"/>
      <c r="B41" s="399"/>
      <c r="C41" s="399"/>
      <c r="D41" s="399"/>
      <c r="E41" s="399"/>
      <c r="F41" s="399"/>
      <c r="G41" s="399"/>
    </row>
    <row r="42" spans="1:7" hidden="1" x14ac:dyDescent="0.2">
      <c r="A42" s="399"/>
      <c r="B42" s="399"/>
      <c r="C42" s="399"/>
      <c r="D42" s="399"/>
      <c r="E42" s="399"/>
      <c r="F42" s="399"/>
      <c r="G42" s="399"/>
    </row>
    <row r="43" spans="1:7" hidden="1" x14ac:dyDescent="0.2">
      <c r="A43" s="399"/>
      <c r="B43" s="399"/>
      <c r="C43" s="399"/>
      <c r="D43" s="399"/>
      <c r="E43" s="399"/>
      <c r="F43" s="399"/>
      <c r="G43" s="399"/>
    </row>
    <row r="44" spans="1:7" hidden="1" x14ac:dyDescent="0.2">
      <c r="A44" s="399"/>
      <c r="B44" s="399"/>
      <c r="C44" s="399"/>
      <c r="D44" s="399"/>
      <c r="E44" s="399"/>
      <c r="F44" s="399"/>
      <c r="G44" s="399"/>
    </row>
    <row r="45" spans="1:7" hidden="1" x14ac:dyDescent="0.2">
      <c r="A45" s="399"/>
      <c r="B45" s="399"/>
      <c r="C45" s="399"/>
      <c r="D45" s="399"/>
      <c r="E45" s="399"/>
      <c r="F45" s="399"/>
      <c r="G45" s="399"/>
    </row>
    <row r="46" spans="1:7" hidden="1" x14ac:dyDescent="0.2">
      <c r="A46" s="399"/>
      <c r="B46" s="399"/>
      <c r="C46" s="399"/>
      <c r="D46" s="399"/>
      <c r="E46" s="399"/>
      <c r="F46" s="399"/>
      <c r="G46" s="399"/>
    </row>
    <row r="47" spans="1:7" hidden="1" x14ac:dyDescent="0.2">
      <c r="A47" s="399"/>
      <c r="B47" s="399"/>
      <c r="C47" s="399"/>
      <c r="D47" s="399"/>
      <c r="E47" s="399"/>
      <c r="F47" s="399"/>
      <c r="G47" s="399"/>
    </row>
    <row r="48" spans="1:7" hidden="1" x14ac:dyDescent="0.2">
      <c r="A48" s="399"/>
      <c r="B48" s="399"/>
      <c r="C48" s="399"/>
      <c r="D48" s="399"/>
      <c r="E48" s="399"/>
      <c r="F48" s="399"/>
      <c r="G48" s="399"/>
    </row>
    <row r="49" spans="1:7" hidden="1" x14ac:dyDescent="0.2">
      <c r="A49" s="399"/>
      <c r="B49" s="399"/>
      <c r="C49" s="399"/>
      <c r="D49" s="399"/>
      <c r="E49" s="399"/>
      <c r="F49" s="399"/>
      <c r="G49" s="399"/>
    </row>
    <row r="50" spans="1:7" hidden="1" x14ac:dyDescent="0.2">
      <c r="A50" s="399"/>
      <c r="B50" s="399"/>
      <c r="C50" s="399"/>
      <c r="D50" s="399"/>
      <c r="E50" s="399"/>
      <c r="F50" s="399"/>
      <c r="G50" s="399"/>
    </row>
    <row r="51" spans="1:7" hidden="1" x14ac:dyDescent="0.2">
      <c r="A51" s="399"/>
      <c r="B51" s="399"/>
      <c r="C51" s="399"/>
      <c r="D51" s="399"/>
      <c r="E51" s="399"/>
      <c r="F51" s="399"/>
      <c r="G51" s="399"/>
    </row>
    <row r="52" spans="1:7" hidden="1" x14ac:dyDescent="0.2">
      <c r="A52" s="399"/>
      <c r="B52" s="399"/>
      <c r="C52" s="399"/>
      <c r="D52" s="399"/>
      <c r="E52" s="399"/>
      <c r="F52" s="399"/>
      <c r="G52" s="399"/>
    </row>
    <row r="53" spans="1:7" hidden="1" x14ac:dyDescent="0.2">
      <c r="A53" s="399"/>
      <c r="B53" s="399"/>
      <c r="C53" s="399"/>
      <c r="D53" s="399"/>
      <c r="E53" s="399"/>
      <c r="F53" s="399"/>
      <c r="G53" s="399"/>
    </row>
    <row r="54" spans="1:7" hidden="1" x14ac:dyDescent="0.2">
      <c r="A54" s="399"/>
      <c r="B54" s="399"/>
      <c r="C54" s="399"/>
      <c r="D54" s="399"/>
      <c r="E54" s="399"/>
      <c r="F54" s="399"/>
      <c r="G54" s="399"/>
    </row>
    <row r="55" spans="1:7" hidden="1" x14ac:dyDescent="0.2">
      <c r="A55" s="399"/>
      <c r="B55" s="399"/>
      <c r="C55" s="399"/>
      <c r="D55" s="399"/>
      <c r="E55" s="399"/>
      <c r="F55" s="399"/>
      <c r="G55" s="399"/>
    </row>
    <row r="56" spans="1:7" hidden="1" x14ac:dyDescent="0.2">
      <c r="A56" s="399"/>
      <c r="B56" s="399"/>
      <c r="C56" s="399"/>
      <c r="D56" s="399"/>
      <c r="E56" s="399"/>
      <c r="F56" s="399"/>
      <c r="G56" s="399"/>
    </row>
    <row r="57" spans="1:7" hidden="1" x14ac:dyDescent="0.2">
      <c r="A57" s="399"/>
      <c r="B57" s="399"/>
      <c r="C57" s="399"/>
      <c r="D57" s="399"/>
      <c r="E57" s="399"/>
      <c r="F57" s="399"/>
      <c r="G57" s="399"/>
    </row>
    <row r="58" spans="1:7" hidden="1" x14ac:dyDescent="0.2">
      <c r="A58" s="399"/>
      <c r="B58" s="399"/>
      <c r="C58" s="399"/>
      <c r="D58" s="399"/>
      <c r="E58" s="399"/>
      <c r="F58" s="399"/>
      <c r="G58" s="399"/>
    </row>
    <row r="59" spans="1:7" hidden="1" x14ac:dyDescent="0.2">
      <c r="A59" s="399"/>
      <c r="B59" s="399"/>
      <c r="C59" s="399"/>
      <c r="D59" s="399"/>
      <c r="E59" s="399"/>
      <c r="F59" s="399"/>
      <c r="G59" s="399"/>
    </row>
    <row r="60" spans="1:7" hidden="1" x14ac:dyDescent="0.2">
      <c r="A60" s="399"/>
      <c r="B60" s="399"/>
      <c r="C60" s="399"/>
      <c r="D60" s="399"/>
      <c r="E60" s="399"/>
      <c r="F60" s="399"/>
      <c r="G60" s="399"/>
    </row>
    <row r="61" spans="1:7" hidden="1" x14ac:dyDescent="0.2">
      <c r="A61" s="399"/>
      <c r="B61" s="399"/>
      <c r="C61" s="399"/>
      <c r="D61" s="399"/>
      <c r="E61" s="399"/>
      <c r="F61" s="399"/>
      <c r="G61" s="399"/>
    </row>
    <row r="62" spans="1:7" hidden="1" x14ac:dyDescent="0.2">
      <c r="A62" s="399"/>
      <c r="B62" s="399"/>
      <c r="C62" s="399"/>
      <c r="D62" s="399"/>
      <c r="E62" s="399"/>
      <c r="F62" s="399"/>
      <c r="G62" s="399"/>
    </row>
    <row r="63" spans="1:7" hidden="1" x14ac:dyDescent="0.2">
      <c r="A63" s="399"/>
      <c r="B63" s="399"/>
      <c r="C63" s="399"/>
      <c r="D63" s="399"/>
      <c r="E63" s="399"/>
      <c r="F63" s="399"/>
      <c r="G63" s="399"/>
    </row>
    <row r="64" spans="1:7" hidden="1" x14ac:dyDescent="0.2">
      <c r="A64" s="399"/>
      <c r="B64" s="399"/>
      <c r="C64" s="399"/>
      <c r="D64" s="399"/>
      <c r="E64" s="399"/>
      <c r="F64" s="399"/>
      <c r="G64" s="399"/>
    </row>
    <row r="65" spans="1:7" hidden="1" x14ac:dyDescent="0.2">
      <c r="A65" s="399"/>
      <c r="B65" s="399"/>
      <c r="C65" s="399"/>
      <c r="D65" s="399"/>
      <c r="E65" s="399"/>
      <c r="F65" s="399"/>
      <c r="G65" s="399"/>
    </row>
    <row r="66" spans="1:7" hidden="1" x14ac:dyDescent="0.2">
      <c r="A66" s="399"/>
      <c r="B66" s="399"/>
      <c r="C66" s="399"/>
      <c r="D66" s="399"/>
      <c r="E66" s="399"/>
      <c r="F66" s="399"/>
      <c r="G66" s="399"/>
    </row>
    <row r="67" spans="1:7" hidden="1" x14ac:dyDescent="0.2">
      <c r="A67" s="399"/>
      <c r="B67" s="399"/>
      <c r="C67" s="399"/>
      <c r="D67" s="399"/>
      <c r="E67" s="399"/>
      <c r="F67" s="399"/>
      <c r="G67" s="399"/>
    </row>
    <row r="68" spans="1:7" hidden="1" x14ac:dyDescent="0.2">
      <c r="A68" s="399"/>
      <c r="B68" s="399"/>
      <c r="C68" s="399"/>
      <c r="D68" s="399"/>
      <c r="E68" s="399"/>
      <c r="F68" s="399"/>
      <c r="G68" s="399"/>
    </row>
    <row r="69" spans="1:7" hidden="1" x14ac:dyDescent="0.2">
      <c r="A69" s="399"/>
      <c r="B69" s="399"/>
      <c r="C69" s="399"/>
      <c r="D69" s="399"/>
      <c r="E69" s="399"/>
      <c r="F69" s="399"/>
      <c r="G69" s="399"/>
    </row>
    <row r="70" spans="1:7" hidden="1" x14ac:dyDescent="0.2">
      <c r="A70" s="399"/>
      <c r="B70" s="399"/>
      <c r="C70" s="399"/>
      <c r="D70" s="399"/>
      <c r="E70" s="399"/>
      <c r="F70" s="399"/>
      <c r="G70" s="399"/>
    </row>
    <row r="71" spans="1:7" hidden="1" x14ac:dyDescent="0.2">
      <c r="A71" s="399"/>
      <c r="B71" s="399"/>
      <c r="C71" s="399"/>
      <c r="D71" s="399"/>
      <c r="E71" s="399"/>
      <c r="F71" s="399"/>
      <c r="G71" s="399"/>
    </row>
    <row r="72" spans="1:7" hidden="1" x14ac:dyDescent="0.2">
      <c r="A72" s="399"/>
      <c r="B72" s="399"/>
      <c r="C72" s="399"/>
      <c r="D72" s="399"/>
      <c r="E72" s="399"/>
      <c r="F72" s="399"/>
      <c r="G72" s="399"/>
    </row>
    <row r="73" spans="1:7" hidden="1" x14ac:dyDescent="0.2">
      <c r="A73" s="399"/>
      <c r="B73" s="399"/>
      <c r="C73" s="399"/>
      <c r="D73" s="399"/>
      <c r="E73" s="399"/>
      <c r="F73" s="399"/>
      <c r="G73" s="399"/>
    </row>
    <row r="74" spans="1:7" hidden="1" x14ac:dyDescent="0.2">
      <c r="A74" s="399"/>
      <c r="B74" s="399"/>
      <c r="C74" s="399"/>
      <c r="D74" s="399"/>
      <c r="E74" s="399"/>
      <c r="F74" s="399"/>
      <c r="G74" s="399"/>
    </row>
    <row r="75" spans="1:7" hidden="1" x14ac:dyDescent="0.2">
      <c r="A75" s="399"/>
      <c r="B75" s="399"/>
      <c r="C75" s="399"/>
      <c r="D75" s="399"/>
      <c r="E75" s="399"/>
      <c r="F75" s="399"/>
      <c r="G75" s="399"/>
    </row>
    <row r="76" spans="1:7" hidden="1" x14ac:dyDescent="0.2">
      <c r="A76" s="399"/>
      <c r="B76" s="399"/>
      <c r="C76" s="399"/>
      <c r="D76" s="399"/>
      <c r="E76" s="399"/>
      <c r="F76" s="399"/>
      <c r="G76" s="399"/>
    </row>
    <row r="77" spans="1:7" hidden="1" x14ac:dyDescent="0.2">
      <c r="A77" s="399"/>
      <c r="B77" s="399"/>
      <c r="C77" s="399"/>
      <c r="D77" s="399"/>
      <c r="E77" s="399"/>
      <c r="F77" s="399"/>
      <c r="G77" s="399"/>
    </row>
    <row r="78" spans="1:7" hidden="1" x14ac:dyDescent="0.2">
      <c r="A78" s="399"/>
      <c r="B78" s="399"/>
      <c r="C78" s="399"/>
      <c r="D78" s="399"/>
      <c r="E78" s="399"/>
      <c r="F78" s="399"/>
      <c r="G78" s="399"/>
    </row>
    <row r="79" spans="1:7" hidden="1" x14ac:dyDescent="0.2">
      <c r="A79" s="399"/>
      <c r="B79" s="399"/>
      <c r="C79" s="399"/>
      <c r="D79" s="399"/>
      <c r="E79" s="399"/>
      <c r="F79" s="399"/>
      <c r="G79" s="399"/>
    </row>
    <row r="80" spans="1:7" hidden="1" x14ac:dyDescent="0.2">
      <c r="A80" s="399"/>
      <c r="B80" s="399"/>
      <c r="C80" s="399"/>
      <c r="D80" s="399"/>
      <c r="E80" s="399"/>
      <c r="F80" s="399"/>
      <c r="G80" s="399"/>
    </row>
    <row r="81" spans="1:7" hidden="1" x14ac:dyDescent="0.2">
      <c r="A81" s="399"/>
      <c r="B81" s="399"/>
      <c r="C81" s="399"/>
      <c r="D81" s="399"/>
      <c r="E81" s="399"/>
      <c r="F81" s="399"/>
      <c r="G81" s="399"/>
    </row>
    <row r="82" spans="1:7" hidden="1" x14ac:dyDescent="0.2">
      <c r="A82" s="399"/>
      <c r="B82" s="399"/>
      <c r="C82" s="399"/>
      <c r="D82" s="399"/>
      <c r="E82" s="399"/>
      <c r="F82" s="399"/>
      <c r="G82" s="399"/>
    </row>
    <row r="83" spans="1:7" hidden="1" x14ac:dyDescent="0.2">
      <c r="A83" s="399"/>
      <c r="B83" s="399"/>
      <c r="C83" s="399"/>
      <c r="D83" s="399"/>
      <c r="E83" s="399"/>
      <c r="F83" s="399"/>
      <c r="G83" s="399"/>
    </row>
    <row r="84" spans="1:7" hidden="1" x14ac:dyDescent="0.2">
      <c r="A84" s="399"/>
      <c r="B84" s="399"/>
      <c r="C84" s="399"/>
      <c r="D84" s="399"/>
      <c r="E84" s="399"/>
      <c r="F84" s="399"/>
      <c r="G84" s="399"/>
    </row>
    <row r="85" spans="1:7" hidden="1" x14ac:dyDescent="0.2">
      <c r="A85" s="399"/>
      <c r="B85" s="399"/>
      <c r="C85" s="399"/>
      <c r="D85" s="399"/>
      <c r="E85" s="399"/>
      <c r="F85" s="399"/>
      <c r="G85" s="399"/>
    </row>
    <row r="86" spans="1:7" hidden="1" x14ac:dyDescent="0.2">
      <c r="A86" s="399"/>
      <c r="B86" s="399"/>
      <c r="C86" s="399"/>
      <c r="D86" s="399"/>
      <c r="E86" s="399"/>
      <c r="F86" s="399"/>
      <c r="G86" s="399"/>
    </row>
    <row r="87" spans="1:7" hidden="1" x14ac:dyDescent="0.2">
      <c r="A87" s="399"/>
      <c r="B87" s="399"/>
      <c r="C87" s="399"/>
      <c r="D87" s="399"/>
      <c r="E87" s="399"/>
      <c r="F87" s="399"/>
      <c r="G87" s="399"/>
    </row>
    <row r="88" spans="1:7" hidden="1" x14ac:dyDescent="0.2">
      <c r="A88" s="399"/>
      <c r="B88" s="399"/>
      <c r="C88" s="399"/>
      <c r="D88" s="399"/>
      <c r="E88" s="399"/>
      <c r="F88" s="399"/>
      <c r="G88" s="399"/>
    </row>
    <row r="89" spans="1:7" hidden="1" x14ac:dyDescent="0.2">
      <c r="A89" s="399"/>
      <c r="B89" s="399"/>
      <c r="C89" s="399"/>
      <c r="D89" s="399"/>
      <c r="E89" s="399"/>
      <c r="F89" s="399"/>
      <c r="G89" s="399"/>
    </row>
    <row r="90" spans="1:7" hidden="1" x14ac:dyDescent="0.2">
      <c r="A90" s="399"/>
      <c r="B90" s="399"/>
      <c r="C90" s="399"/>
      <c r="D90" s="399"/>
      <c r="E90" s="399"/>
      <c r="F90" s="399"/>
      <c r="G90" s="399"/>
    </row>
    <row r="91" spans="1:7" hidden="1" x14ac:dyDescent="0.2">
      <c r="A91" s="399"/>
      <c r="B91" s="399"/>
      <c r="C91" s="399"/>
      <c r="D91" s="399"/>
      <c r="E91" s="399"/>
      <c r="F91" s="399"/>
      <c r="G91" s="399"/>
    </row>
    <row r="92" spans="1:7" hidden="1" x14ac:dyDescent="0.2">
      <c r="A92" s="399"/>
      <c r="B92" s="399"/>
      <c r="C92" s="399"/>
      <c r="D92" s="399"/>
      <c r="E92" s="399"/>
      <c r="F92" s="399"/>
      <c r="G92" s="399"/>
    </row>
    <row r="93" spans="1:7" hidden="1" x14ac:dyDescent="0.2">
      <c r="A93" s="399"/>
      <c r="B93" s="399"/>
      <c r="C93" s="399"/>
      <c r="D93" s="399"/>
      <c r="E93" s="399"/>
      <c r="F93" s="399"/>
      <c r="G93" s="399"/>
    </row>
    <row r="94" spans="1:7" hidden="1" x14ac:dyDescent="0.2">
      <c r="A94" s="399"/>
      <c r="B94" s="399"/>
      <c r="C94" s="399"/>
      <c r="D94" s="399"/>
      <c r="E94" s="399"/>
      <c r="F94" s="399"/>
      <c r="G94" s="399"/>
    </row>
    <row r="95" spans="1:7" hidden="1" x14ac:dyDescent="0.2">
      <c r="A95" s="399"/>
      <c r="B95" s="399"/>
      <c r="C95" s="399"/>
      <c r="D95" s="399"/>
      <c r="E95" s="399"/>
      <c r="F95" s="399"/>
      <c r="G95" s="399"/>
    </row>
    <row r="96" spans="1:7" hidden="1" x14ac:dyDescent="0.2">
      <c r="A96" s="399"/>
      <c r="B96" s="399"/>
      <c r="C96" s="399"/>
      <c r="D96" s="399"/>
      <c r="E96" s="399"/>
      <c r="F96" s="399"/>
      <c r="G96" s="399"/>
    </row>
    <row r="97" spans="1:7" hidden="1" x14ac:dyDescent="0.2">
      <c r="A97" s="399"/>
      <c r="B97" s="399"/>
      <c r="C97" s="399"/>
      <c r="D97" s="399"/>
      <c r="E97" s="399"/>
      <c r="F97" s="399"/>
      <c r="G97" s="399"/>
    </row>
    <row r="98" spans="1:7" hidden="1" x14ac:dyDescent="0.2">
      <c r="A98" s="399"/>
      <c r="B98" s="399"/>
      <c r="C98" s="399"/>
      <c r="D98" s="399"/>
      <c r="E98" s="399"/>
      <c r="F98" s="399"/>
      <c r="G98" s="399"/>
    </row>
    <row r="99" spans="1:7" hidden="1" x14ac:dyDescent="0.2">
      <c r="A99" s="399"/>
      <c r="B99" s="399"/>
      <c r="C99" s="399"/>
      <c r="D99" s="399"/>
      <c r="E99" s="399"/>
      <c r="F99" s="399"/>
      <c r="G99" s="399"/>
    </row>
    <row r="100" spans="1:7" hidden="1" x14ac:dyDescent="0.2">
      <c r="A100" s="901" t="s">
        <v>312</v>
      </c>
      <c r="B100" s="37"/>
      <c r="C100" s="37"/>
      <c r="D100" s="37"/>
      <c r="E100" s="37"/>
      <c r="F100" s="37"/>
      <c r="G100" s="37"/>
    </row>
    <row r="101" spans="1:7" hidden="1" x14ac:dyDescent="0.2">
      <c r="A101" s="37"/>
      <c r="B101" s="37"/>
      <c r="C101" s="37"/>
      <c r="D101" s="37"/>
      <c r="E101" s="37"/>
      <c r="F101" s="37"/>
      <c r="G101" s="37"/>
    </row>
    <row r="102" spans="1:7" hidden="1" x14ac:dyDescent="0.2">
      <c r="A102" s="902" t="s">
        <v>313</v>
      </c>
      <c r="B102" s="903" t="str">
        <f>IF(A102="-","-",IFERROR(INDEX(B$1:B$100,MATCH(A102,I$1:I$100,0)),""))</f>
        <v/>
      </c>
      <c r="C102" s="904">
        <v>13</v>
      </c>
      <c r="D102" s="904"/>
      <c r="E102" s="904"/>
      <c r="F102" s="905"/>
      <c r="G102" s="399"/>
    </row>
    <row r="103" spans="1:7" hidden="1" x14ac:dyDescent="0.2">
      <c r="A103" s="902"/>
      <c r="B103" s="906"/>
      <c r="C103" s="907" t="str">
        <f>IF(COUNT(C102,C104)=2,IF(C102&gt;C104,B102,B104),"")</f>
        <v/>
      </c>
      <c r="D103" s="905"/>
      <c r="E103" s="904">
        <v>13</v>
      </c>
      <c r="F103" s="905"/>
      <c r="G103" s="399"/>
    </row>
    <row r="104" spans="1:7" hidden="1" x14ac:dyDescent="0.2">
      <c r="A104" s="902" t="s">
        <v>314</v>
      </c>
      <c r="B104" s="908" t="str">
        <f>IF(A104="-","-",IFERROR(INDEX(B$1:B$100,MATCH(A104,I$1:I$100,0)),""))</f>
        <v/>
      </c>
      <c r="C104" s="909">
        <v>4</v>
      </c>
      <c r="D104" s="910"/>
      <c r="E104" s="905"/>
      <c r="F104" s="905"/>
      <c r="G104" s="399"/>
    </row>
    <row r="105" spans="1:7" ht="13.5" hidden="1" thickBot="1" x14ac:dyDescent="0.25">
      <c r="A105" s="902"/>
      <c r="B105" s="905"/>
      <c r="C105" s="911"/>
      <c r="D105" s="912"/>
      <c r="E105" s="913"/>
      <c r="F105" s="914" t="str">
        <f>IF(COUNT(E103,E107)=2,IF(E103&gt;E107,C103,C107),"")</f>
        <v/>
      </c>
      <c r="G105" s="399"/>
    </row>
    <row r="106" spans="1:7" hidden="1" x14ac:dyDescent="0.2">
      <c r="A106" s="902" t="s">
        <v>315</v>
      </c>
      <c r="B106" s="903" t="str">
        <f>IF(A106="-","-",IFERROR(INDEX(B$1:B$100,MATCH(A106,I$1:I$100,0)),""))</f>
        <v/>
      </c>
      <c r="C106" s="904">
        <v>13</v>
      </c>
      <c r="D106" s="912"/>
      <c r="E106" s="915"/>
      <c r="F106" s="916" t="s">
        <v>307</v>
      </c>
      <c r="G106" s="917"/>
    </row>
    <row r="107" spans="1:7" hidden="1" x14ac:dyDescent="0.2">
      <c r="A107" s="902"/>
      <c r="B107" s="906"/>
      <c r="C107" s="907" t="str">
        <f>IF(COUNT(C106,C108)=2,IF(C106&gt;C108,B106,B108),"")</f>
        <v/>
      </c>
      <c r="D107" s="918"/>
      <c r="E107" s="909">
        <v>11</v>
      </c>
      <c r="F107" s="919"/>
      <c r="G107" s="920"/>
    </row>
    <row r="108" spans="1:7" ht="13.5" hidden="1" thickBot="1" x14ac:dyDescent="0.25">
      <c r="A108" s="902" t="s">
        <v>316</v>
      </c>
      <c r="B108" s="908" t="str">
        <f>IF(A108="-","-",IFERROR(INDEX(B$1:B$100,MATCH(A108,I$1:I$100,0)),""))</f>
        <v/>
      </c>
      <c r="C108" s="909">
        <v>1</v>
      </c>
      <c r="D108" s="904"/>
      <c r="E108" s="911"/>
      <c r="F108" s="921" t="str">
        <f>IF(COUNT(E103,E107)=2,IF(E103&lt;E107,C103,C107),"")</f>
        <v/>
      </c>
      <c r="G108" s="922"/>
    </row>
    <row r="109" spans="1:7" hidden="1" x14ac:dyDescent="0.2">
      <c r="A109" s="37"/>
      <c r="B109" s="904"/>
      <c r="C109" s="904"/>
      <c r="D109" s="904"/>
      <c r="E109" s="911"/>
      <c r="F109" s="923" t="s">
        <v>308</v>
      </c>
      <c r="G109" s="399"/>
    </row>
    <row r="110" spans="1:7" hidden="1" x14ac:dyDescent="0.2">
      <c r="A110" s="37"/>
      <c r="B110" s="904"/>
      <c r="C110" s="914" t="str">
        <f>IF(COUNT(C102,C104)=2,IF(C102&lt;C104,B102,B104),"")</f>
        <v/>
      </c>
      <c r="D110" s="905"/>
      <c r="E110" s="911">
        <v>13</v>
      </c>
      <c r="F110" s="919"/>
      <c r="G110" s="399"/>
    </row>
    <row r="111" spans="1:7" ht="13.5" hidden="1" thickBot="1" x14ac:dyDescent="0.25">
      <c r="A111" s="37"/>
      <c r="B111" s="904"/>
      <c r="C111" s="906"/>
      <c r="D111" s="924"/>
      <c r="E111" s="925"/>
      <c r="F111" s="914" t="str">
        <f>IF(COUNT(E110,E112)=2,IF(E110&gt;E112,C110,C112),"")</f>
        <v/>
      </c>
      <c r="G111" s="399"/>
    </row>
    <row r="112" spans="1:7" hidden="1" x14ac:dyDescent="0.2">
      <c r="A112" s="37"/>
      <c r="B112" s="904"/>
      <c r="C112" s="903" t="str">
        <f>IF(COUNT(C106,C108)=2,IF(C106&lt;C108,B106,B108),"")</f>
        <v/>
      </c>
      <c r="D112" s="918"/>
      <c r="E112" s="909">
        <v>10</v>
      </c>
      <c r="F112" s="916" t="s">
        <v>274</v>
      </c>
      <c r="G112" s="917"/>
    </row>
    <row r="113" spans="1:7" hidden="1" x14ac:dyDescent="0.2">
      <c r="A113" s="37"/>
      <c r="B113" s="905"/>
      <c r="C113" s="905"/>
      <c r="D113" s="905"/>
      <c r="E113" s="905"/>
      <c r="F113" s="919"/>
      <c r="G113" s="920"/>
    </row>
    <row r="114" spans="1:7" ht="13.5" hidden="1" thickBot="1" x14ac:dyDescent="0.25">
      <c r="A114" s="37"/>
      <c r="B114" s="905"/>
      <c r="C114" s="919"/>
      <c r="D114" s="919"/>
      <c r="E114" s="905"/>
      <c r="F114" s="926" t="str">
        <f>IF(COUNT(E110,E112)=2,IF(E110&lt;E112,C110,C112),"")</f>
        <v/>
      </c>
      <c r="G114" s="922"/>
    </row>
    <row r="115" spans="1:7" hidden="1" x14ac:dyDescent="0.2">
      <c r="A115" s="37"/>
      <c r="B115" s="905"/>
      <c r="C115" s="919"/>
      <c r="D115" s="919"/>
      <c r="E115" s="905"/>
      <c r="F115" s="923" t="s">
        <v>272</v>
      </c>
      <c r="G115" s="399"/>
    </row>
    <row r="116" spans="1:7" hidden="1" x14ac:dyDescent="0.2">
      <c r="A116" s="37"/>
      <c r="B116" s="399"/>
      <c r="C116" s="399"/>
      <c r="D116" s="399"/>
      <c r="E116" s="399"/>
      <c r="F116" s="399"/>
      <c r="G116" s="399"/>
    </row>
    <row r="117" spans="1:7" hidden="1" x14ac:dyDescent="0.2">
      <c r="A117" s="901" t="s">
        <v>317</v>
      </c>
      <c r="B117" s="399"/>
      <c r="C117" s="399"/>
      <c r="D117" s="399"/>
      <c r="E117" s="399"/>
      <c r="F117" s="399"/>
      <c r="G117" s="399"/>
    </row>
    <row r="118" spans="1:7" hidden="1" x14ac:dyDescent="0.2">
      <c r="A118" s="399"/>
      <c r="B118" s="399"/>
      <c r="C118" s="399"/>
      <c r="D118" s="399"/>
      <c r="E118" s="399"/>
      <c r="F118" s="399"/>
      <c r="G118" s="399"/>
    </row>
    <row r="119" spans="1:7" hidden="1" x14ac:dyDescent="0.2">
      <c r="A119" s="902" t="s">
        <v>318</v>
      </c>
      <c r="B119" s="903" t="str">
        <f>IF(A119="-","-",IFERROR(INDEX(B$1:B$100,MATCH(A119,I$1:I$100,0)),""))</f>
        <v/>
      </c>
      <c r="C119" s="904">
        <v>8</v>
      </c>
      <c r="D119" s="904"/>
      <c r="E119" s="904"/>
      <c r="F119" s="905"/>
      <c r="G119" s="399"/>
    </row>
    <row r="120" spans="1:7" hidden="1" x14ac:dyDescent="0.2">
      <c r="A120" s="902"/>
      <c r="B120" s="906"/>
      <c r="C120" s="907" t="str">
        <f>IF(COUNT(C119,C121)=2,IF(C119&gt;C121,B119,B121),"")</f>
        <v/>
      </c>
      <c r="D120" s="905"/>
      <c r="E120" s="904">
        <v>13</v>
      </c>
      <c r="F120" s="905"/>
      <c r="G120" s="399"/>
    </row>
    <row r="121" spans="1:7" hidden="1" x14ac:dyDescent="0.2">
      <c r="A121" s="902" t="s">
        <v>319</v>
      </c>
      <c r="B121" s="908" t="str">
        <f>IF(A121="-","-",IFERROR(INDEX(B$1:B$100,MATCH(A121,I$1:I$100,0)),""))</f>
        <v/>
      </c>
      <c r="C121" s="909">
        <v>13</v>
      </c>
      <c r="D121" s="910"/>
      <c r="E121" s="905"/>
      <c r="F121" s="905"/>
      <c r="G121" s="399"/>
    </row>
    <row r="122" spans="1:7" ht="13.5" hidden="1" thickBot="1" x14ac:dyDescent="0.25">
      <c r="A122" s="902"/>
      <c r="B122" s="905"/>
      <c r="C122" s="911"/>
      <c r="D122" s="912"/>
      <c r="E122" s="913"/>
      <c r="F122" s="914" t="str">
        <f>IF(COUNT(E120,E124)=2,IF(E120&gt;E124,C120,C124),"")</f>
        <v/>
      </c>
      <c r="G122" s="399"/>
    </row>
    <row r="123" spans="1:7" hidden="1" x14ac:dyDescent="0.2">
      <c r="A123" s="902" t="s">
        <v>320</v>
      </c>
      <c r="B123" s="903" t="str">
        <f>IF(A123="-","-",IFERROR(INDEX(B$1:B$100,MATCH(A123,I$1:I$100,0)),""))</f>
        <v/>
      </c>
      <c r="C123" s="904">
        <v>10</v>
      </c>
      <c r="D123" s="912"/>
      <c r="E123" s="915"/>
      <c r="F123" s="916" t="s">
        <v>273</v>
      </c>
      <c r="G123" s="917"/>
    </row>
    <row r="124" spans="1:7" hidden="1" x14ac:dyDescent="0.2">
      <c r="A124" s="902"/>
      <c r="B124" s="906"/>
      <c r="C124" s="907" t="str">
        <f>IF(COUNT(C123,C125)=2,IF(C123&gt;C125,B123,B125),"")</f>
        <v/>
      </c>
      <c r="D124" s="918"/>
      <c r="E124" s="909">
        <v>1</v>
      </c>
      <c r="F124" s="919"/>
      <c r="G124" s="920"/>
    </row>
    <row r="125" spans="1:7" ht="13.5" hidden="1" thickBot="1" x14ac:dyDescent="0.25">
      <c r="A125" s="902" t="s">
        <v>321</v>
      </c>
      <c r="B125" s="908" t="str">
        <f>IF(A125="-","-",IFERROR(INDEX(B$1:B$100,MATCH(A125,I$1:I$100,0)),""))</f>
        <v/>
      </c>
      <c r="C125" s="909">
        <v>13</v>
      </c>
      <c r="D125" s="904"/>
      <c r="E125" s="911"/>
      <c r="F125" s="921" t="str">
        <f>IF(COUNT(E120,E124)=2,IF(E120&lt;E124,C120,C124),"")</f>
        <v/>
      </c>
      <c r="G125" s="922"/>
    </row>
    <row r="126" spans="1:7" hidden="1" x14ac:dyDescent="0.2">
      <c r="A126" s="37"/>
      <c r="B126" s="904"/>
      <c r="C126" s="904"/>
      <c r="D126" s="904"/>
      <c r="E126" s="911"/>
      <c r="F126" s="923" t="s">
        <v>271</v>
      </c>
      <c r="G126" s="399"/>
    </row>
    <row r="127" spans="1:7" hidden="1" x14ac:dyDescent="0.2">
      <c r="A127" s="37"/>
      <c r="B127" s="904"/>
      <c r="C127" s="914" t="str">
        <f>IF(COUNT(C119,C121)=2,IF(C119&lt;C121,B119,B121),"")</f>
        <v/>
      </c>
      <c r="D127" s="905"/>
      <c r="E127" s="911">
        <v>13</v>
      </c>
      <c r="F127" s="919"/>
      <c r="G127" s="399"/>
    </row>
    <row r="128" spans="1:7" ht="13.5" hidden="1" thickBot="1" x14ac:dyDescent="0.25">
      <c r="A128" s="37"/>
      <c r="B128" s="904"/>
      <c r="C128" s="906"/>
      <c r="D128" s="924"/>
      <c r="E128" s="925"/>
      <c r="F128" s="914" t="str">
        <f>IF(COUNT(E127,E129)=2,IF(E127&gt;E129,C127,C129),"")</f>
        <v/>
      </c>
      <c r="G128" s="399"/>
    </row>
    <row r="129" spans="1:7" hidden="1" x14ac:dyDescent="0.2">
      <c r="A129" s="37"/>
      <c r="B129" s="904"/>
      <c r="C129" s="903" t="str">
        <f>IF(COUNT(C123,C125)=2,IF(C123&lt;C125,B123,B125),"")</f>
        <v/>
      </c>
      <c r="D129" s="918"/>
      <c r="E129" s="909">
        <v>12</v>
      </c>
      <c r="F129" s="916" t="s">
        <v>279</v>
      </c>
      <c r="G129" s="917"/>
    </row>
    <row r="130" spans="1:7" hidden="1" x14ac:dyDescent="0.2">
      <c r="A130" s="37"/>
      <c r="B130" s="905"/>
      <c r="C130" s="905"/>
      <c r="D130" s="905"/>
      <c r="E130" s="905"/>
      <c r="F130" s="919"/>
      <c r="G130" s="920"/>
    </row>
    <row r="131" spans="1:7" ht="13.5" hidden="1" thickBot="1" x14ac:dyDescent="0.25">
      <c r="A131" s="37"/>
      <c r="B131" s="905"/>
      <c r="C131" s="919"/>
      <c r="D131" s="919"/>
      <c r="E131" s="905"/>
      <c r="F131" s="926" t="str">
        <f>IF(COUNT(E127,E129)=2,IF(E127&lt;E129,C127,C129),"")</f>
        <v/>
      </c>
      <c r="G131" s="922"/>
    </row>
    <row r="132" spans="1:7" hidden="1" x14ac:dyDescent="0.2">
      <c r="A132" s="37"/>
      <c r="B132" s="905"/>
      <c r="C132" s="919"/>
      <c r="D132" s="919"/>
      <c r="E132" s="905"/>
      <c r="F132" s="923" t="s">
        <v>275</v>
      </c>
      <c r="G132" s="399"/>
    </row>
    <row r="133" spans="1:7" hidden="1" x14ac:dyDescent="0.2"/>
    <row r="134" spans="1:7" hidden="1" x14ac:dyDescent="0.2"/>
    <row r="135" spans="1:7" hidden="1" x14ac:dyDescent="0.2"/>
    <row r="136" spans="1:7" hidden="1" x14ac:dyDescent="0.2"/>
    <row r="137" spans="1:7" hidden="1" x14ac:dyDescent="0.2"/>
    <row r="138" spans="1:7" hidden="1" x14ac:dyDescent="0.2"/>
    <row r="139" spans="1:7" hidden="1" x14ac:dyDescent="0.2"/>
    <row r="140" spans="1:7" hidden="1" x14ac:dyDescent="0.2"/>
    <row r="141" spans="1:7" hidden="1" x14ac:dyDescent="0.2"/>
    <row r="142" spans="1:7" hidden="1" x14ac:dyDescent="0.2"/>
    <row r="143" spans="1:7" hidden="1" x14ac:dyDescent="0.2"/>
    <row r="144" spans="1: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478</v>
      </c>
      <c r="C300" s="981">
        <v>40</v>
      </c>
    </row>
    <row r="301" spans="1:3" x14ac:dyDescent="0.2">
      <c r="A301" s="449">
        <v>2</v>
      </c>
      <c r="B301" s="450" t="s">
        <v>451</v>
      </c>
      <c r="C301" s="981">
        <v>34</v>
      </c>
    </row>
    <row r="302" spans="1:3" x14ac:dyDescent="0.2">
      <c r="A302" s="449">
        <v>3</v>
      </c>
      <c r="B302" s="450" t="s">
        <v>435</v>
      </c>
      <c r="C302" s="981">
        <v>30</v>
      </c>
    </row>
    <row r="303" spans="1:3" x14ac:dyDescent="0.2">
      <c r="A303" s="449">
        <v>4</v>
      </c>
      <c r="B303" s="450" t="s">
        <v>438</v>
      </c>
      <c r="C303" s="981">
        <v>26</v>
      </c>
    </row>
    <row r="304" spans="1:3" x14ac:dyDescent="0.2">
      <c r="A304" s="449">
        <v>5</v>
      </c>
      <c r="B304" s="450" t="s">
        <v>479</v>
      </c>
      <c r="C304" s="981">
        <v>24</v>
      </c>
    </row>
    <row r="305" spans="1:3" x14ac:dyDescent="0.2">
      <c r="A305" s="449">
        <v>6</v>
      </c>
      <c r="B305" s="450" t="s">
        <v>480</v>
      </c>
      <c r="C305" s="981">
        <v>22</v>
      </c>
    </row>
    <row r="306" spans="1:3" x14ac:dyDescent="0.2">
      <c r="A306" s="449">
        <v>7</v>
      </c>
      <c r="B306" s="450" t="s">
        <v>455</v>
      </c>
      <c r="C306" s="981">
        <v>20</v>
      </c>
    </row>
  </sheetData>
  <conditionalFormatting sqref="D7 C8">
    <cfRule type="aboveAverage" dxfId="2007" priority="106"/>
  </conditionalFormatting>
  <conditionalFormatting sqref="E7 C9">
    <cfRule type="aboveAverage" dxfId="2006" priority="105"/>
  </conditionalFormatting>
  <conditionalFormatting sqref="F7 C10">
    <cfRule type="aboveAverage" dxfId="2005" priority="104"/>
  </conditionalFormatting>
  <conditionalFormatting sqref="E8 D9">
    <cfRule type="aboveAverage" dxfId="2004" priority="103"/>
  </conditionalFormatting>
  <conditionalFormatting sqref="G7 C11">
    <cfRule type="aboveAverage" dxfId="2003" priority="102"/>
  </conditionalFormatting>
  <conditionalFormatting sqref="F8 D10">
    <cfRule type="aboveAverage" dxfId="2002" priority="101"/>
  </conditionalFormatting>
  <conditionalFormatting sqref="G8 D11">
    <cfRule type="aboveAverage" dxfId="2001" priority="100"/>
  </conditionalFormatting>
  <conditionalFormatting sqref="F9 E10">
    <cfRule type="aboveAverage" dxfId="2000" priority="99"/>
  </conditionalFormatting>
  <conditionalFormatting sqref="G9 E11">
    <cfRule type="aboveAverage" dxfId="1999" priority="98"/>
  </conditionalFormatting>
  <conditionalFormatting sqref="F11 G10">
    <cfRule type="aboveAverage" dxfId="1998" priority="97"/>
  </conditionalFormatting>
  <conditionalFormatting sqref="D14 C15">
    <cfRule type="aboveAverage" dxfId="1997" priority="96"/>
  </conditionalFormatting>
  <conditionalFormatting sqref="E14 C16">
    <cfRule type="aboveAverage" dxfId="1996" priority="95"/>
  </conditionalFormatting>
  <conditionalFormatting sqref="F14 C17">
    <cfRule type="aboveAverage" dxfId="1995" priority="94"/>
  </conditionalFormatting>
  <conditionalFormatting sqref="E15 D16">
    <cfRule type="aboveAverage" dxfId="1994" priority="93"/>
  </conditionalFormatting>
  <conditionalFormatting sqref="G14 C18">
    <cfRule type="aboveAverage" dxfId="1993" priority="92"/>
  </conditionalFormatting>
  <conditionalFormatting sqref="F15 D17">
    <cfRule type="aboveAverage" dxfId="1992" priority="91"/>
  </conditionalFormatting>
  <conditionalFormatting sqref="G15 D18">
    <cfRule type="aboveAverage" dxfId="1991" priority="90"/>
  </conditionalFormatting>
  <conditionalFormatting sqref="F16 E17">
    <cfRule type="aboveAverage" dxfId="1990" priority="89"/>
  </conditionalFormatting>
  <conditionalFormatting sqref="G16 E18">
    <cfRule type="aboveAverage" dxfId="1989" priority="88"/>
  </conditionalFormatting>
  <conditionalFormatting sqref="F18 G17">
    <cfRule type="aboveAverage" dxfId="1988" priority="87"/>
  </conditionalFormatting>
  <conditionalFormatting sqref="I7:I11">
    <cfRule type="expression" dxfId="1987" priority="85">
      <formula>FIND(2,I7,1)</formula>
    </cfRule>
    <cfRule type="expression" dxfId="1986" priority="86">
      <formula>FIND(1,I7,1)</formula>
    </cfRule>
  </conditionalFormatting>
  <conditionalFormatting sqref="H14:H18">
    <cfRule type="expression" dxfId="1985" priority="29">
      <formula>AND(Q14=4,IF(COUNTIF(Q$14:Q$18,"=4")&gt;=2,TRUE))</formula>
    </cfRule>
    <cfRule type="expression" dxfId="1984" priority="107">
      <formula>AND(Q14=3,IF(COUNTIF(Q$14:Q$18,"=3")&gt;=2,TRUE))</formula>
    </cfRule>
    <cfRule type="expression" dxfId="1983" priority="108">
      <formula>AND(Q14=2,IF(COUNTIF(Q$14:Q$18,"=2")&gt;=2,TRUE))</formula>
    </cfRule>
    <cfRule type="expression" dxfId="1982" priority="109">
      <formula>AND(Q14=1,IF(COUNTIF(Q$14:Q$18,"=1")&gt;=2,TRUE))</formula>
    </cfRule>
  </conditionalFormatting>
  <conditionalFormatting sqref="B11:B18">
    <cfRule type="duplicateValues" dxfId="1981" priority="84"/>
  </conditionalFormatting>
  <conditionalFormatting sqref="L7:L11">
    <cfRule type="expression" dxfId="1980" priority="67">
      <formula>K7=0</formula>
    </cfRule>
    <cfRule type="expression" dxfId="1979" priority="76">
      <formula>IF(COUNTIF(J$7:J$11,"=2")=2,TRUE)</formula>
    </cfRule>
    <cfRule type="expression" dxfId="1978" priority="77">
      <formula>IF(COUNTIF(J$7:J$11,"=1")=2,TRUE)</formula>
    </cfRule>
    <cfRule type="expression" dxfId="1977" priority="78">
      <formula>AND(IF(COUNTIF(Q$7:Q$11,"=1")=2,TRUE),IF(COUNTIF(Q$7:Q$11,"=2")=2,TRUE))</formula>
    </cfRule>
    <cfRule type="expression" dxfId="1976" priority="79">
      <formula>AND(Q7=4,IF(COUNTIF(Q$7:Q$11,"=4")=1,TRUE))</formula>
    </cfRule>
    <cfRule type="expression" dxfId="1975" priority="80">
      <formula>AND(Q7=3,IF(COUNTIF(Q$7:Q$11,"=3")=1,TRUE))</formula>
    </cfRule>
    <cfRule type="expression" dxfId="1974" priority="81">
      <formula>AND(Q7=2,IF(COUNTIF(Q$7:Q$11,"=2")=1,TRUE))</formula>
    </cfRule>
    <cfRule type="expression" dxfId="1973" priority="82">
      <formula>AND(Q7=1,IF(COUNTIF(Q$7:Q$11,"=1")=1,TRUE))</formula>
    </cfRule>
    <cfRule type="expression" dxfId="1972" priority="83">
      <formula>OR(Q7=0,Q7=5)</formula>
    </cfRule>
  </conditionalFormatting>
  <conditionalFormatting sqref="O7:O11">
    <cfRule type="expression" dxfId="1971" priority="75">
      <formula>OR(AND(J7=1,K7=1,L7=0,M7=1),AND(J7=2,K7=2,L7=0,M7=2))</formula>
    </cfRule>
  </conditionalFormatting>
  <conditionalFormatting sqref="M7:M11">
    <cfRule type="expression" dxfId="1970" priority="68">
      <formula>AND(L7&gt;0,IF(COUNTIF(L$7:L$11,L7)&gt;1,TRUE,FALSE))</formula>
    </cfRule>
    <cfRule type="expression" dxfId="1969" priority="69">
      <formula>AND(IF(COUNTIF(R$7:R$11,"=1")=2,TRUE),IF(COUNTIF(R$7:R$11,"=2")=2,TRUE))</formula>
    </cfRule>
    <cfRule type="expression" dxfId="1968" priority="70">
      <formula>AND(R7=4,IF(COUNTIF(R$7:R$11,"=4")=1,TRUE))</formula>
    </cfRule>
    <cfRule type="expression" dxfId="1967" priority="71">
      <formula>AND(R7=3,IF(COUNTIF(R$7:R$11,"=3")=1,TRUE))</formula>
    </cfRule>
    <cfRule type="expression" dxfId="1966" priority="72">
      <formula>AND(R7=2,IF(COUNTIF(R$7:R$11,"=2")=1,TRUE))</formula>
    </cfRule>
    <cfRule type="expression" dxfId="1965" priority="73">
      <formula>AND(R7=1,IF(COUNTIF(R$7:R$11,"=1")=1,TRUE))</formula>
    </cfRule>
    <cfRule type="expression" dxfId="1964" priority="74">
      <formula>OR(R7=0,R7=5)</formula>
    </cfRule>
  </conditionalFormatting>
  <conditionalFormatting sqref="J7:J11">
    <cfRule type="expression" dxfId="1963" priority="63">
      <formula>AND(Q7=4,IF(COUNTIF(Q$7:Q$11,"=4")&gt;=2,TRUE))</formula>
    </cfRule>
    <cfRule type="expression" dxfId="1962" priority="64">
      <formula>AND(Q7=3,IF(COUNTIF(Q$7:Q$11,"=3")&gt;=2,TRUE))</formula>
    </cfRule>
    <cfRule type="expression" dxfId="1961" priority="65">
      <formula>AND(Q7=2,IF(COUNTIF(Q$7:Q$11,"=2")&gt;=2,TRUE))</formula>
    </cfRule>
    <cfRule type="expression" dxfId="1960" priority="66">
      <formula>AND(Q7=1,IF(COUNTIF(Q$7:Q$11,"=1")&gt;=2,TRUE))</formula>
    </cfRule>
  </conditionalFormatting>
  <conditionalFormatting sqref="H7:H11">
    <cfRule type="expression" dxfId="1959" priority="30">
      <formula>AND(Q7=4,IF(COUNTIF(Q$7:Q$11,"=4")&gt;=2,TRUE))</formula>
    </cfRule>
    <cfRule type="expression" dxfId="1958" priority="110">
      <formula>AND(Q7=3,IF(COUNTIF(Q$7:Q$11,"=3")&gt;=2,TRUE))</formula>
    </cfRule>
    <cfRule type="expression" dxfId="1957" priority="111">
      <formula>AND(Q7=2,IF(COUNTIF(Q$7:Q$11,"=2")&gt;=2,TRUE))</formula>
    </cfRule>
    <cfRule type="expression" dxfId="1956" priority="112">
      <formula>AND(Q7=1,IF(COUNTIF(Q$7:Q$11,"=1")&gt;=2,TRUE))</formula>
    </cfRule>
  </conditionalFormatting>
  <conditionalFormatting sqref="K7:K11">
    <cfRule type="expression" dxfId="1955" priority="113">
      <formula>AND(J7&gt;0,IF(COUNTIF(J$7:J$11,"=1")=2,TRUE),IF(COUNTIF(J$7:J$11,"=2")=2,TRUE))</formula>
    </cfRule>
    <cfRule type="expression" dxfId="1954" priority="114">
      <formula>IF(COUNTIF(L$7:L$11,"=2")=2,TRUE)</formula>
    </cfRule>
    <cfRule type="expression" dxfId="1953" priority="115">
      <formula>IF(COUNTIF(L$7:L$11,"=1")=2,TRUE)</formula>
    </cfRule>
    <cfRule type="expression" dxfId="1952" priority="116">
      <formula>AND(IF(COUNTIF(R$7:R$11,"=1")=2,TRUE),IF(COUNTIF(S$7:S$11,"=2")=2,TRUE))</formula>
    </cfRule>
    <cfRule type="expression" dxfId="1951" priority="117">
      <formula>AND(R7=4,IF(COUNTIF(R$7:R$11,"=4")=1,TRUE))</formula>
    </cfRule>
    <cfRule type="expression" dxfId="1950" priority="118">
      <formula>AND(R7=3,IF(COUNTIF(R$7:R$11,"=3")=1,TRUE))</formula>
    </cfRule>
    <cfRule type="expression" dxfId="1949" priority="119">
      <formula>AND(R7=2,IF(COUNTIF(R$7:R$11,"=2")=1,TRUE))</formula>
    </cfRule>
    <cfRule type="expression" dxfId="1948" priority="120">
      <formula>AND(R7=1,IF(COUNTIF(R$7:R$11,"=1")=1,TRUE))</formula>
    </cfRule>
    <cfRule type="expression" dxfId="1947" priority="121">
      <formula>OR(R7=0,R7=5)</formula>
    </cfRule>
  </conditionalFormatting>
  <conditionalFormatting sqref="I14:I18">
    <cfRule type="expression" dxfId="1946" priority="52">
      <formula>FIND(2,I14,1)</formula>
    </cfRule>
    <cfRule type="expression" dxfId="1945" priority="53">
      <formula>FIND(1,I14,1)</formula>
    </cfRule>
  </conditionalFormatting>
  <conditionalFormatting sqref="L14:L18">
    <cfRule type="expression" dxfId="1944" priority="35">
      <formula>K14=0</formula>
    </cfRule>
    <cfRule type="expression" dxfId="1943" priority="44">
      <formula>IF(COUNTIF(J$14:J$18,"=2")=2,TRUE)</formula>
    </cfRule>
    <cfRule type="expression" dxfId="1942" priority="45">
      <formula>IF(COUNTIF(J$14:J$18,"=1")=2,TRUE)</formula>
    </cfRule>
    <cfRule type="expression" dxfId="1941" priority="46">
      <formula>AND(IF(COUNTIF(Q$14:Q$18,"=1")=2,TRUE),IF(COUNTIF(Q$14:Q$18,"=2")=2,TRUE))</formula>
    </cfRule>
    <cfRule type="expression" dxfId="1940" priority="47">
      <formula>AND(Q14=4,IF(COUNTIF(Q$14:Q$18,"=4")=1,TRUE))</formula>
    </cfRule>
    <cfRule type="expression" dxfId="1939" priority="48">
      <formula>AND(Q14=3,IF(COUNTIF(Q$14:Q$18,"=3")=1,TRUE))</formula>
    </cfRule>
    <cfRule type="expression" dxfId="1938" priority="49">
      <formula>AND(Q14=2,IF(COUNTIF(Q$14:Q$18,"=2")=1,TRUE))</formula>
    </cfRule>
    <cfRule type="expression" dxfId="1937" priority="50">
      <formula>AND(Q14=1,IF(COUNTIF(Q$14:Q$18,"=1")=1,TRUE))</formula>
    </cfRule>
    <cfRule type="expression" dxfId="1936" priority="51">
      <formula>OR(Q14=0,Q14=5)</formula>
    </cfRule>
  </conditionalFormatting>
  <conditionalFormatting sqref="O14:O18">
    <cfRule type="expression" dxfId="1935" priority="43">
      <formula>OR(AND(J14=1,K14=1,L14=0,M14=1),AND(J14=2,K14=2,L14=0,M14=2))</formula>
    </cfRule>
  </conditionalFormatting>
  <conditionalFormatting sqref="M14:M18">
    <cfRule type="expression" dxfId="1934" priority="36">
      <formula>AND(L14&gt;0,IF(COUNTIF(L$14:L$18,L14)&gt;1,TRUE,FALSE))</formula>
    </cfRule>
    <cfRule type="expression" dxfId="1933" priority="37">
      <formula>AND(IF(COUNTIF(R$14:R$18,"=1")=2,TRUE),IF(COUNTIF(R$14:R$18,"=2")=2,TRUE))</formula>
    </cfRule>
    <cfRule type="expression" dxfId="1932" priority="38">
      <formula>AND(R14=4,IF(COUNTIF(R$14:R$18,"=4")=1,TRUE))</formula>
    </cfRule>
    <cfRule type="expression" dxfId="1931" priority="39">
      <formula>AND(R14=3,IF(COUNTIF(R$14:R$18,"=3")=1,TRUE))</formula>
    </cfRule>
    <cfRule type="expression" dxfId="1930" priority="40">
      <formula>AND(R14=2,IF(COUNTIF(R$14:R$18,"=2")=1,TRUE))</formula>
    </cfRule>
    <cfRule type="expression" dxfId="1929" priority="41">
      <formula>AND(R14=1,IF(COUNTIF(R$14:R$18,"=1")=1,TRUE))</formula>
    </cfRule>
    <cfRule type="expression" dxfId="1928" priority="42">
      <formula>OR(R14=0,R14=5)</formula>
    </cfRule>
  </conditionalFormatting>
  <conditionalFormatting sqref="J14:J18">
    <cfRule type="expression" dxfId="1927" priority="31">
      <formula>AND(Q14=4,IF(COUNTIF(Q$14:Q$18,"=4")&gt;=2,TRUE))</formula>
    </cfRule>
    <cfRule type="expression" dxfId="1926" priority="32">
      <formula>AND(Q14=3,IF(COUNTIF(Q$14:Q$18,"=3")&gt;=2,TRUE))</formula>
    </cfRule>
    <cfRule type="expression" dxfId="1925" priority="33">
      <formula>AND(Q14=2,IF(COUNTIF(Q$14:Q$18,"=2")&gt;=2,TRUE))</formula>
    </cfRule>
    <cfRule type="expression" dxfId="1924" priority="34">
      <formula>AND(Q14=1,IF(COUNTIF(Q$14:Q$18,"=1")&gt;=2,TRUE))</formula>
    </cfRule>
  </conditionalFormatting>
  <conditionalFormatting sqref="K14:K18">
    <cfRule type="expression" dxfId="1923" priority="54">
      <formula>AND(J14&gt;0,IF(COUNTIF(J$14:J$18,"=1")=2,TRUE),IF(COUNTIF(J$14:J$18,"=2")=2,TRUE))</formula>
    </cfRule>
    <cfRule type="expression" dxfId="1922" priority="55">
      <formula>IF(COUNTIF(L$14:L$18,"=2")=2,TRUE)</formula>
    </cfRule>
    <cfRule type="expression" dxfId="1921" priority="56">
      <formula>IF(COUNTIF(L$14:L$18,"=1")=2,TRUE)</formula>
    </cfRule>
    <cfRule type="expression" dxfId="1920" priority="57">
      <formula>AND(IF(COUNTIF(R$14:R$18,"=1")=2,TRUE),IF(COUNTIF(S$14:S$18,"=2")=2,TRUE))</formula>
    </cfRule>
    <cfRule type="expression" dxfId="1919" priority="58">
      <formula>AND(R14=4,IF(COUNTIF(R$14:R$18,"=4")=1,TRUE))</formula>
    </cfRule>
    <cfRule type="expression" dxfId="1918" priority="59">
      <formula>AND(R14=3,IF(COUNTIF(R$14:R$18,"=3")=1,TRUE))</formula>
    </cfRule>
    <cfRule type="expression" dxfId="1917" priority="60">
      <formula>AND(R14=2,IF(COUNTIF(R$14:R$18,"=2")=1,TRUE))</formula>
    </cfRule>
    <cfRule type="expression" dxfId="1916" priority="61">
      <formula>AND(R14=1,IF(COUNTIF(R$14:R$18,"=1")=1,TRUE))</formula>
    </cfRule>
    <cfRule type="expression" dxfId="1915" priority="62">
      <formula>OR(R14=0,R14=5)</formula>
    </cfRule>
  </conditionalFormatting>
  <conditionalFormatting sqref="C102 C104">
    <cfRule type="containsBlanks" dxfId="1914" priority="27">
      <formula>LEN(TRIM(C102))=0</formula>
    </cfRule>
    <cfRule type="aboveAverage" dxfId="1913" priority="28"/>
  </conditionalFormatting>
  <conditionalFormatting sqref="C106 C108">
    <cfRule type="containsBlanks" dxfId="1912" priority="25">
      <formula>LEN(TRIM(C106))=0</formula>
    </cfRule>
    <cfRule type="aboveAverage" dxfId="1911" priority="26"/>
  </conditionalFormatting>
  <conditionalFormatting sqref="C119 C121">
    <cfRule type="containsBlanks" dxfId="1910" priority="23">
      <formula>LEN(TRIM(C119))=0</formula>
    </cfRule>
    <cfRule type="aboveAverage" dxfId="1909" priority="24"/>
  </conditionalFormatting>
  <conditionalFormatting sqref="C123 C125">
    <cfRule type="containsBlanks" dxfId="1908" priority="21">
      <formula>LEN(TRIM(C123))=0</formula>
    </cfRule>
    <cfRule type="aboveAverage" dxfId="1907" priority="22"/>
  </conditionalFormatting>
  <conditionalFormatting sqref="E127 E129">
    <cfRule type="containsBlanks" dxfId="1906" priority="13">
      <formula>LEN(TRIM(E127))=0</formula>
    </cfRule>
  </conditionalFormatting>
  <conditionalFormatting sqref="E110 E112">
    <cfRule type="aboveAverage" dxfId="1905" priority="18"/>
  </conditionalFormatting>
  <conditionalFormatting sqref="E110 E112">
    <cfRule type="containsBlanks" dxfId="1904" priority="17">
      <formula>LEN(TRIM(E110))=0</formula>
    </cfRule>
  </conditionalFormatting>
  <conditionalFormatting sqref="E103 E107">
    <cfRule type="containsBlanks" dxfId="1903" priority="19">
      <formula>LEN(TRIM(E103))=0</formula>
    </cfRule>
    <cfRule type="aboveAverage" dxfId="1902" priority="20"/>
  </conditionalFormatting>
  <conditionalFormatting sqref="E127 E129">
    <cfRule type="aboveAverage" dxfId="1901" priority="14"/>
  </conditionalFormatting>
  <conditionalFormatting sqref="E120 E124">
    <cfRule type="containsBlanks" dxfId="1900" priority="15">
      <formula>LEN(TRIM(E120))=0</formula>
    </cfRule>
    <cfRule type="aboveAverage" dxfId="1899" priority="16"/>
  </conditionalFormatting>
  <conditionalFormatting sqref="B7:B10">
    <cfRule type="duplicateValues" dxfId="1898" priority="12"/>
  </conditionalFormatting>
  <conditionalFormatting sqref="AJ6:AJ22 AJ27:AJ31">
    <cfRule type="expression" dxfId="1897" priority="5">
      <formula>AND(AI6="",FIND(",",AJ6))</formula>
    </cfRule>
    <cfRule type="expression" dxfId="1896" priority="7">
      <formula>AND(AI6="",COUNTIF(AJ6,"*,*")=0)</formula>
    </cfRule>
  </conditionalFormatting>
  <conditionalFormatting sqref="AH6:AH22 AH27:AH31">
    <cfRule type="expression" dxfId="1895" priority="8">
      <formula>AND(AG6="",FIND(",",AH6))</formula>
    </cfRule>
    <cfRule type="expression" dxfId="1894" priority="9">
      <formula>AND(AG6="",COUNTIF(AH6,"*,*")=0)</formula>
    </cfRule>
  </conditionalFormatting>
  <conditionalFormatting sqref="AL6:AL22 AL27:AL31">
    <cfRule type="expression" dxfId="1893" priority="10">
      <formula>AND(AK6="",FIND(",",AL6))</formula>
    </cfRule>
    <cfRule type="expression" dxfId="1892" priority="11">
      <formula>AND(AK6="",COUNTIF(AL6,"*,*")=0)</formula>
    </cfRule>
  </conditionalFormatting>
  <conditionalFormatting sqref="AF6:AF22 AF27:AF31">
    <cfRule type="expression" dxfId="1891" priority="6">
      <formula>AND(AE6="",COUNTIF(AF6,"*,*")=0)</formula>
    </cfRule>
  </conditionalFormatting>
  <conditionalFormatting sqref="AN6:AN22 AN27:AN31">
    <cfRule type="expression" dxfId="1890" priority="2">
      <formula>AND(AM6="",COUNTIF(AN6,"*,*")=0)</formula>
    </cfRule>
    <cfRule type="expression" dxfId="1889" priority="4">
      <formula>AND(AM6="",FIND(",",AN6))</formula>
    </cfRule>
  </conditionalFormatting>
  <conditionalFormatting sqref="AP6:AP22 AP27:AP31">
    <cfRule type="expression" dxfId="1888" priority="1">
      <formula>AND(AO6="",COUNTIF(AP6,"*,*")=0)</formula>
    </cfRule>
    <cfRule type="expression" dxfId="1887" priority="3">
      <formula>AND(AO6="",FIND(",",AP6))</formula>
    </cfRule>
  </conditionalFormatting>
  <conditionalFormatting sqref="A300:A306">
    <cfRule type="duplicateValues" dxfId="1886" priority="577"/>
  </conditionalFormatting>
  <conditionalFormatting sqref="B300:B306">
    <cfRule type="expression" dxfId="1885" priority="578">
      <formula>A300=3</formula>
    </cfRule>
    <cfRule type="expression" dxfId="1884" priority="579">
      <formula>A300=2</formula>
    </cfRule>
    <cfRule type="expression" dxfId="1883" priority="580">
      <formula>A300=1</formula>
    </cfRule>
    <cfRule type="containsBlanks" dxfId="1882" priority="581">
      <formula>LEN(TRIM(B300))=0</formula>
    </cfRule>
    <cfRule type="duplicateValues" dxfId="1881" priority="582"/>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115"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320"/>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18.71093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6.5703125" hidden="1" customWidth="1"/>
    <col min="32" max="32" width="9.140625" hidden="1" customWidth="1"/>
  </cols>
  <sheetData>
    <row r="1" spans="1:32" x14ac:dyDescent="0.2">
      <c r="A1" s="462" t="str">
        <f>UPPER((Kalend!E31)&amp;" - "&amp;(Kalend!C31)&amp;" - "&amp;(Kalend!D31))</f>
        <v>11 - K-JÄRVE 22. MV - ÜKSIK</v>
      </c>
      <c r="B1" s="403"/>
      <c r="C1" s="404"/>
      <c r="D1" s="403"/>
      <c r="E1" s="403"/>
      <c r="L1" s="406"/>
      <c r="M1" s="407"/>
      <c r="N1" s="407"/>
      <c r="O1" s="403"/>
      <c r="P1" s="403"/>
      <c r="Q1" s="405"/>
      <c r="R1" s="405"/>
      <c r="S1" s="405"/>
      <c r="T1" s="406"/>
      <c r="U1" s="406"/>
      <c r="V1" s="406"/>
      <c r="W1" s="403"/>
      <c r="X1" s="408"/>
      <c r="Y1" s="403"/>
      <c r="Z1" s="403"/>
      <c r="AA1" s="403"/>
      <c r="AB1" s="403"/>
      <c r="AD1" s="176" t="s">
        <v>68</v>
      </c>
      <c r="AE1" s="536"/>
      <c r="AF1" s="536"/>
    </row>
    <row r="2" spans="1:32" x14ac:dyDescent="0.2">
      <c r="A2" s="409" t="str">
        <f>"Toimumisaeg: "&amp;(Kalend!A31)&amp;" kell "&amp;(Kalend!B31)</f>
        <v>Toimumisaeg: N, 22.07.2021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c r="AB2" s="403"/>
      <c r="AD2" s="409"/>
      <c r="AE2" s="409"/>
      <c r="AF2" s="409"/>
    </row>
    <row r="3" spans="1:32" x14ac:dyDescent="0.2">
      <c r="A3" s="409" t="str">
        <f>"Toimumiskoht: "&amp;(Kalend!F31)</f>
        <v>Toimumiskoht: K-Järve spordihoone</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row>
    <row r="4" spans="1:32" x14ac:dyDescent="0.2">
      <c r="A4" s="409" t="str">
        <f>"Korraldaja: "&amp;(Kalend!G31)</f>
        <v>Korraldaja: Ivar Viljaste</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537" t="s">
        <v>231</v>
      </c>
      <c r="AF4" s="409"/>
    </row>
    <row r="5" spans="1:3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538" t="s">
        <v>287</v>
      </c>
      <c r="AE5" s="540" t="s">
        <v>93</v>
      </c>
      <c r="AF5" s="539"/>
    </row>
    <row r="6" spans="1:3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978"/>
      <c r="AF6" s="540"/>
    </row>
    <row r="7" spans="1:3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979"/>
      <c r="AE7" s="539"/>
      <c r="AF7" s="539"/>
    </row>
    <row r="8" spans="1:32" x14ac:dyDescent="0.2">
      <c r="A8" s="435">
        <v>1</v>
      </c>
      <c r="B8" s="436" t="s">
        <v>110</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26">
        <f ca="1">SUM(AF8:AF8)</f>
        <v>273</v>
      </c>
      <c r="AE8" s="543" t="str">
        <f>$B8</f>
        <v>Kenneth Muusikus</v>
      </c>
      <c r="AF8" s="544">
        <f ca="1">IFERROR(INDEX(Reit!$I:$I,MATCH(AE8,Reit!$F:$F,0)),"")</f>
        <v>273</v>
      </c>
    </row>
    <row r="9" spans="1:32" x14ac:dyDescent="0.2">
      <c r="A9" s="435">
        <v>2</v>
      </c>
      <c r="B9" s="436" t="s">
        <v>107</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8" si="0">IF(C9&gt;E9,J$3,IF(C9&lt;E9,J$5,IF(ISNUMBER(C9),J$4,0)))+IF(G9&gt;I9,J$3,IF(G9&lt;I9,J$5,IF(ISNUMBER(G9),J$4,0)))+IF(K9&gt;M9,J$3,IF(K9&lt;M9,J$5,IF(ISNUMBER(K9),J$4,0)))+IF(O9&gt;Q9,J$3,IF(O9&lt;Q9,J$5,IF(ISNUMBER(O9),J$4,0)))+IF(S9&gt;U9,J$3,IF(S9&lt;U9,J$5,IF(ISNUMBER(S9),J$4,0)))</f>
        <v>0</v>
      </c>
      <c r="X9" s="442"/>
      <c r="Y9" s="437">
        <f t="shared" ref="Y9:Y28" si="1">C9+G9+K9+O9+S9</f>
        <v>0</v>
      </c>
      <c r="Z9" s="438" t="s">
        <v>246</v>
      </c>
      <c r="AA9" s="443">
        <f t="shared" ref="AA9:AA28" si="2">E9+I9+M9+Q9+U9</f>
        <v>0</v>
      </c>
      <c r="AB9" s="444">
        <f t="shared" ref="AB9:AB28" si="3">Y9-AA9</f>
        <v>0</v>
      </c>
      <c r="AC9" s="445"/>
      <c r="AD9" s="426">
        <f ca="1">SUM(AF9:AF9)</f>
        <v>294</v>
      </c>
      <c r="AE9" s="543" t="str">
        <f>$B9</f>
        <v>Matti Vinni</v>
      </c>
      <c r="AF9" s="544">
        <f ca="1">IFERROR(INDEX(Reit!$I:$I,MATCH(AE9,Reit!$F:$F,0)),"")</f>
        <v>294</v>
      </c>
    </row>
    <row r="10" spans="1:32" x14ac:dyDescent="0.2">
      <c r="A10" s="435">
        <v>3</v>
      </c>
      <c r="B10" s="436" t="s">
        <v>117</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0"/>
        <v>0</v>
      </c>
      <c r="X10" s="442"/>
      <c r="Y10" s="437">
        <f t="shared" si="1"/>
        <v>0</v>
      </c>
      <c r="Z10" s="438" t="s">
        <v>246</v>
      </c>
      <c r="AA10" s="443">
        <f t="shared" si="2"/>
        <v>0</v>
      </c>
      <c r="AB10" s="444">
        <f t="shared" si="3"/>
        <v>0</v>
      </c>
      <c r="AC10" s="445"/>
      <c r="AD10" s="426">
        <f t="shared" ref="AD10:AD23" ca="1" si="4">SUM(AF10:AF10)</f>
        <v>174</v>
      </c>
      <c r="AE10" s="543" t="str">
        <f t="shared" ref="AE10:AE28" si="5">$B10</f>
        <v>Andrei Grintšak</v>
      </c>
      <c r="AF10" s="544">
        <f ca="1">IFERROR(INDEX(Reit!$I:$I,MATCH(AE10,Reit!$F:$F,0)),"")</f>
        <v>174</v>
      </c>
    </row>
    <row r="11" spans="1:32" x14ac:dyDescent="0.2">
      <c r="A11" s="435">
        <v>4</v>
      </c>
      <c r="B11" s="436" t="s">
        <v>108</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0"/>
        <v>0</v>
      </c>
      <c r="X11" s="442"/>
      <c r="Y11" s="437">
        <f t="shared" si="1"/>
        <v>0</v>
      </c>
      <c r="Z11" s="438" t="s">
        <v>246</v>
      </c>
      <c r="AA11" s="443">
        <f t="shared" si="2"/>
        <v>0</v>
      </c>
      <c r="AB11" s="444">
        <f t="shared" si="3"/>
        <v>0</v>
      </c>
      <c r="AC11" s="445"/>
      <c r="AD11" s="426">
        <f t="shared" ca="1" si="4"/>
        <v>212</v>
      </c>
      <c r="AE11" s="543" t="str">
        <f t="shared" si="5"/>
        <v>Oleg Rõndenkov</v>
      </c>
      <c r="AF11" s="544">
        <f ca="1">IFERROR(INDEX(Reit!$I:$I,MATCH(AE11,Reit!$F:$F,0)),"")</f>
        <v>212</v>
      </c>
    </row>
    <row r="12" spans="1:32" x14ac:dyDescent="0.2">
      <c r="A12" s="435">
        <v>5</v>
      </c>
      <c r="B12" s="436" t="s">
        <v>120</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0"/>
        <v>0</v>
      </c>
      <c r="X12" s="442"/>
      <c r="Y12" s="437">
        <f t="shared" si="1"/>
        <v>0</v>
      </c>
      <c r="Z12" s="438" t="s">
        <v>246</v>
      </c>
      <c r="AA12" s="443">
        <f t="shared" si="2"/>
        <v>0</v>
      </c>
      <c r="AB12" s="444">
        <f t="shared" si="3"/>
        <v>0</v>
      </c>
      <c r="AC12" s="445"/>
      <c r="AD12" s="426">
        <f t="shared" ca="1" si="4"/>
        <v>132</v>
      </c>
      <c r="AE12" s="543" t="str">
        <f t="shared" si="5"/>
        <v>Tõnu Kapper</v>
      </c>
      <c r="AF12" s="544">
        <f ca="1">IFERROR(INDEX(Reit!$I:$I,MATCH(AE12,Reit!$F:$F,0)),"")</f>
        <v>132</v>
      </c>
    </row>
    <row r="13" spans="1:32" x14ac:dyDescent="0.2">
      <c r="A13" s="435">
        <v>6</v>
      </c>
      <c r="B13" s="436" t="s">
        <v>12</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0"/>
        <v>0</v>
      </c>
      <c r="X13" s="442"/>
      <c r="Y13" s="437">
        <f t="shared" si="1"/>
        <v>0</v>
      </c>
      <c r="Z13" s="438" t="s">
        <v>246</v>
      </c>
      <c r="AA13" s="443">
        <f t="shared" si="2"/>
        <v>0</v>
      </c>
      <c r="AB13" s="444">
        <f t="shared" si="3"/>
        <v>0</v>
      </c>
      <c r="AC13" s="445"/>
      <c r="AD13" s="426">
        <f t="shared" ca="1" si="4"/>
        <v>272</v>
      </c>
      <c r="AE13" s="543" t="str">
        <f t="shared" si="5"/>
        <v>Ivar Viljaste</v>
      </c>
      <c r="AF13" s="544">
        <f ca="1">IFERROR(INDEX(Reit!$I:$I,MATCH(AE13,Reit!$F:$F,0)),"")</f>
        <v>272</v>
      </c>
    </row>
    <row r="14" spans="1:32" x14ac:dyDescent="0.2">
      <c r="A14" s="435">
        <v>7</v>
      </c>
      <c r="B14" s="446" t="s">
        <v>148</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0"/>
        <v>0</v>
      </c>
      <c r="X14" s="442"/>
      <c r="Y14" s="437">
        <f t="shared" si="1"/>
        <v>0</v>
      </c>
      <c r="Z14" s="438" t="s">
        <v>246</v>
      </c>
      <c r="AA14" s="443">
        <f t="shared" si="2"/>
        <v>0</v>
      </c>
      <c r="AB14" s="444">
        <f t="shared" si="3"/>
        <v>0</v>
      </c>
      <c r="AC14" s="445"/>
      <c r="AD14" s="426">
        <f t="shared" ca="1" si="4"/>
        <v>44</v>
      </c>
      <c r="AE14" s="543" t="str">
        <f t="shared" si="5"/>
        <v>Sirje Viljaste</v>
      </c>
      <c r="AF14" s="544">
        <f ca="1">IFERROR(INDEX(Reit!$I:$I,MATCH(AE14,Reit!$F:$F,0)),"")</f>
        <v>44</v>
      </c>
    </row>
    <row r="15" spans="1:32" x14ac:dyDescent="0.2">
      <c r="A15" s="435">
        <v>8</v>
      </c>
      <c r="B15" s="446" t="s">
        <v>137</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0"/>
        <v>0</v>
      </c>
      <c r="X15" s="442"/>
      <c r="Y15" s="437">
        <f t="shared" si="1"/>
        <v>0</v>
      </c>
      <c r="Z15" s="438" t="s">
        <v>246</v>
      </c>
      <c r="AA15" s="443">
        <f t="shared" si="2"/>
        <v>0</v>
      </c>
      <c r="AB15" s="444">
        <f t="shared" si="3"/>
        <v>0</v>
      </c>
      <c r="AC15" s="445"/>
      <c r="AD15" s="426">
        <f t="shared" ca="1" si="4"/>
        <v>149</v>
      </c>
      <c r="AE15" s="543" t="str">
        <f t="shared" si="5"/>
        <v>Ljudmila Varendi</v>
      </c>
      <c r="AF15" s="544">
        <f ca="1">IFERROR(INDEX(Reit!$I:$I,MATCH(AE15,Reit!$F:$F,0)),"")</f>
        <v>149</v>
      </c>
    </row>
    <row r="16" spans="1:32" x14ac:dyDescent="0.2">
      <c r="A16" s="435">
        <v>9</v>
      </c>
      <c r="B16" s="436" t="s">
        <v>115</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0"/>
        <v>0</v>
      </c>
      <c r="X16" s="442"/>
      <c r="Y16" s="437">
        <f t="shared" si="1"/>
        <v>0</v>
      </c>
      <c r="Z16" s="438" t="s">
        <v>246</v>
      </c>
      <c r="AA16" s="443">
        <f t="shared" si="2"/>
        <v>0</v>
      </c>
      <c r="AB16" s="444">
        <f t="shared" si="3"/>
        <v>0</v>
      </c>
      <c r="AC16" s="445"/>
      <c r="AD16" s="426">
        <f t="shared" ca="1" si="4"/>
        <v>232</v>
      </c>
      <c r="AE16" s="543" t="str">
        <f t="shared" si="5"/>
        <v>Aarne Välja</v>
      </c>
      <c r="AF16" s="544">
        <f ca="1">IFERROR(INDEX(Reit!$I:$I,MATCH(AE16,Reit!$F:$F,0)),"")</f>
        <v>232</v>
      </c>
    </row>
    <row r="17" spans="1:37" x14ac:dyDescent="0.2">
      <c r="A17" s="435">
        <v>10</v>
      </c>
      <c r="B17" s="436" t="s">
        <v>149</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0"/>
        <v>0</v>
      </c>
      <c r="X17" s="442"/>
      <c r="Y17" s="437">
        <f t="shared" si="1"/>
        <v>0</v>
      </c>
      <c r="Z17" s="438" t="s">
        <v>246</v>
      </c>
      <c r="AA17" s="443">
        <f t="shared" si="2"/>
        <v>0</v>
      </c>
      <c r="AB17" s="444">
        <f t="shared" si="3"/>
        <v>0</v>
      </c>
      <c r="AC17" s="445"/>
      <c r="AD17" s="426">
        <f t="shared" ca="1" si="4"/>
        <v>34</v>
      </c>
      <c r="AE17" s="543" t="str">
        <f t="shared" si="5"/>
        <v>Vello Vasser</v>
      </c>
      <c r="AF17" s="544">
        <f ca="1">IFERROR(INDEX(Reit!$I:$I,MATCH(AE17,Reit!$F:$F,0)),"")</f>
        <v>34</v>
      </c>
    </row>
    <row r="18" spans="1:37" x14ac:dyDescent="0.2">
      <c r="A18" s="435">
        <v>11</v>
      </c>
      <c r="B18" s="446" t="s">
        <v>138</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0"/>
        <v>0</v>
      </c>
      <c r="X18" s="442"/>
      <c r="Y18" s="437">
        <f t="shared" si="1"/>
        <v>0</v>
      </c>
      <c r="Z18" s="438" t="s">
        <v>246</v>
      </c>
      <c r="AA18" s="443">
        <f t="shared" si="2"/>
        <v>0</v>
      </c>
      <c r="AB18" s="444">
        <f t="shared" si="3"/>
        <v>0</v>
      </c>
      <c r="AC18" s="445"/>
      <c r="AD18" s="426">
        <f t="shared" ca="1" si="4"/>
        <v>132</v>
      </c>
      <c r="AE18" s="543" t="str">
        <f t="shared" si="5"/>
        <v>Viktor Švarõgin</v>
      </c>
      <c r="AF18" s="544">
        <f ca="1">IFERROR(INDEX(Reit!$I:$I,MATCH(AE18,Reit!$F:$F,0)),"")</f>
        <v>132</v>
      </c>
    </row>
    <row r="19" spans="1:37" x14ac:dyDescent="0.2">
      <c r="A19" s="435">
        <v>12</v>
      </c>
      <c r="B19" s="446" t="s">
        <v>105</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0"/>
        <v>0</v>
      </c>
      <c r="X19" s="442"/>
      <c r="Y19" s="437">
        <f t="shared" si="1"/>
        <v>0</v>
      </c>
      <c r="Z19" s="438" t="s">
        <v>246</v>
      </c>
      <c r="AA19" s="443">
        <f t="shared" si="2"/>
        <v>0</v>
      </c>
      <c r="AB19" s="444">
        <f t="shared" si="3"/>
        <v>0</v>
      </c>
      <c r="AC19" s="445"/>
      <c r="AD19" s="426">
        <f t="shared" ca="1" si="4"/>
        <v>292</v>
      </c>
      <c r="AE19" s="543" t="str">
        <f t="shared" si="5"/>
        <v>Oskar Sepp</v>
      </c>
      <c r="AF19" s="544">
        <f ca="1">IFERROR(INDEX(Reit!$I:$I,MATCH(AE19,Reit!$F:$F,0)),"")</f>
        <v>292</v>
      </c>
    </row>
    <row r="20" spans="1:37" x14ac:dyDescent="0.2">
      <c r="A20" s="435">
        <v>13</v>
      </c>
      <c r="B20" s="436" t="s">
        <v>106</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0"/>
        <v>0</v>
      </c>
      <c r="X20" s="442"/>
      <c r="Y20" s="437">
        <f t="shared" si="1"/>
        <v>0</v>
      </c>
      <c r="Z20" s="438" t="s">
        <v>246</v>
      </c>
      <c r="AA20" s="443">
        <f t="shared" si="2"/>
        <v>0</v>
      </c>
      <c r="AB20" s="444">
        <f t="shared" si="3"/>
        <v>0</v>
      </c>
      <c r="AC20" s="445"/>
      <c r="AD20" s="426">
        <f t="shared" ca="1" si="4"/>
        <v>248</v>
      </c>
      <c r="AE20" s="543" t="str">
        <f t="shared" si="5"/>
        <v>Jaan Sepp</v>
      </c>
      <c r="AF20" s="544">
        <f ca="1">IFERROR(INDEX(Reit!$I:$I,MATCH(AE20,Reit!$F:$F,0)),"")</f>
        <v>248</v>
      </c>
    </row>
    <row r="21" spans="1:37" x14ac:dyDescent="0.2">
      <c r="A21" s="435">
        <v>14</v>
      </c>
      <c r="B21" s="446" t="s">
        <v>141</v>
      </c>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0"/>
        <v>0</v>
      </c>
      <c r="X21" s="442"/>
      <c r="Y21" s="437">
        <f t="shared" si="1"/>
        <v>0</v>
      </c>
      <c r="Z21" s="438" t="s">
        <v>246</v>
      </c>
      <c r="AA21" s="443">
        <f t="shared" si="2"/>
        <v>0</v>
      </c>
      <c r="AB21" s="444">
        <f t="shared" si="3"/>
        <v>0</v>
      </c>
      <c r="AC21" s="445"/>
      <c r="AD21" s="426">
        <f t="shared" ca="1" si="4"/>
        <v>178</v>
      </c>
      <c r="AE21" s="543" t="str">
        <f t="shared" si="5"/>
        <v>Meelis Luud</v>
      </c>
      <c r="AF21" s="544">
        <f ca="1">IFERROR(INDEX(Reit!$I:$I,MATCH(AE21,Reit!$F:$F,0)),"")</f>
        <v>178</v>
      </c>
    </row>
    <row r="22" spans="1:37" x14ac:dyDescent="0.2">
      <c r="A22" s="435">
        <v>15</v>
      </c>
      <c r="B22" s="446" t="s">
        <v>152</v>
      </c>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0"/>
        <v>0</v>
      </c>
      <c r="X22" s="442"/>
      <c r="Y22" s="437">
        <f t="shared" si="1"/>
        <v>0</v>
      </c>
      <c r="Z22" s="438" t="s">
        <v>246</v>
      </c>
      <c r="AA22" s="443">
        <f t="shared" si="2"/>
        <v>0</v>
      </c>
      <c r="AB22" s="444">
        <f t="shared" si="3"/>
        <v>0</v>
      </c>
      <c r="AC22" s="445"/>
      <c r="AD22" s="426">
        <f t="shared" ca="1" si="4"/>
        <v>156</v>
      </c>
      <c r="AE22" s="543" t="str">
        <f t="shared" si="5"/>
        <v>Sander Rose</v>
      </c>
      <c r="AF22" s="544">
        <f ca="1">IFERROR(INDEX(Reit!$I:$I,MATCH(AE22,Reit!$F:$F,0)),"")</f>
        <v>156</v>
      </c>
    </row>
    <row r="23" spans="1:37" x14ac:dyDescent="0.2">
      <c r="A23" s="435">
        <v>16</v>
      </c>
      <c r="B23" s="436" t="s">
        <v>118</v>
      </c>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0"/>
        <v>0</v>
      </c>
      <c r="X23" s="442"/>
      <c r="Y23" s="437">
        <f t="shared" si="1"/>
        <v>0</v>
      </c>
      <c r="Z23" s="438" t="s">
        <v>246</v>
      </c>
      <c r="AA23" s="443">
        <f t="shared" si="2"/>
        <v>0</v>
      </c>
      <c r="AB23" s="444">
        <f t="shared" si="3"/>
        <v>0</v>
      </c>
      <c r="AC23" s="445"/>
      <c r="AD23" s="426">
        <f t="shared" ca="1" si="4"/>
        <v>206</v>
      </c>
      <c r="AE23" s="543" t="str">
        <f t="shared" si="5"/>
        <v>Svetlana Veski</v>
      </c>
      <c r="AF23" s="544">
        <f ca="1">IFERROR(INDEX(Reit!$I:$I,MATCH(AE23,Reit!$F:$F,0)),"")</f>
        <v>206</v>
      </c>
    </row>
    <row r="24" spans="1:37" x14ac:dyDescent="0.2">
      <c r="A24" s="435">
        <v>17</v>
      </c>
      <c r="B24" s="446" t="s">
        <v>114</v>
      </c>
      <c r="C24" s="437"/>
      <c r="D24" s="438" t="s">
        <v>246</v>
      </c>
      <c r="E24" s="439"/>
      <c r="F24" s="440"/>
      <c r="G24" s="437"/>
      <c r="H24" s="438" t="s">
        <v>246</v>
      </c>
      <c r="I24" s="439"/>
      <c r="J24" s="440"/>
      <c r="K24" s="437"/>
      <c r="L24" s="438" t="s">
        <v>246</v>
      </c>
      <c r="M24" s="439"/>
      <c r="N24" s="440"/>
      <c r="O24" s="437"/>
      <c r="P24" s="438" t="s">
        <v>246</v>
      </c>
      <c r="Q24" s="439"/>
      <c r="R24" s="440"/>
      <c r="S24" s="437"/>
      <c r="T24" s="438" t="s">
        <v>246</v>
      </c>
      <c r="U24" s="439"/>
      <c r="V24" s="440"/>
      <c r="W24" s="441">
        <f t="shared" si="0"/>
        <v>0</v>
      </c>
      <c r="X24" s="442"/>
      <c r="Y24" s="437">
        <f t="shared" si="1"/>
        <v>0</v>
      </c>
      <c r="Z24" s="438" t="s">
        <v>246</v>
      </c>
      <c r="AA24" s="443">
        <f t="shared" si="2"/>
        <v>0</v>
      </c>
      <c r="AB24" s="444">
        <f t="shared" si="3"/>
        <v>0</v>
      </c>
      <c r="AC24" s="445"/>
      <c r="AD24" s="426">
        <f t="shared" ref="AD24:AD28" ca="1" si="6">SUM(AF24:AF24)</f>
        <v>150</v>
      </c>
      <c r="AE24" s="543" t="str">
        <f t="shared" si="5"/>
        <v>Janek Tarto</v>
      </c>
      <c r="AF24" s="544">
        <f ca="1">IFERROR(INDEX(Reit!$I:$I,MATCH(AE24,Reit!$F:$F,0)),"")</f>
        <v>150</v>
      </c>
    </row>
    <row r="25" spans="1:37" x14ac:dyDescent="0.2">
      <c r="A25" s="435">
        <v>18</v>
      </c>
      <c r="B25" s="446" t="s">
        <v>464</v>
      </c>
      <c r="C25" s="437"/>
      <c r="D25" s="438" t="s">
        <v>246</v>
      </c>
      <c r="E25" s="439"/>
      <c r="F25" s="440"/>
      <c r="G25" s="437"/>
      <c r="H25" s="438" t="s">
        <v>246</v>
      </c>
      <c r="I25" s="439"/>
      <c r="J25" s="440"/>
      <c r="K25" s="437"/>
      <c r="L25" s="438" t="s">
        <v>246</v>
      </c>
      <c r="M25" s="439"/>
      <c r="N25" s="440"/>
      <c r="O25" s="437"/>
      <c r="P25" s="438" t="s">
        <v>246</v>
      </c>
      <c r="Q25" s="439"/>
      <c r="R25" s="440"/>
      <c r="S25" s="437"/>
      <c r="T25" s="438" t="s">
        <v>246</v>
      </c>
      <c r="U25" s="439"/>
      <c r="V25" s="440"/>
      <c r="W25" s="441">
        <f t="shared" si="0"/>
        <v>0</v>
      </c>
      <c r="X25" s="442"/>
      <c r="Y25" s="437">
        <f t="shared" si="1"/>
        <v>0</v>
      </c>
      <c r="Z25" s="438" t="s">
        <v>246</v>
      </c>
      <c r="AA25" s="443">
        <f t="shared" si="2"/>
        <v>0</v>
      </c>
      <c r="AB25" s="444">
        <f t="shared" si="3"/>
        <v>0</v>
      </c>
      <c r="AC25" s="445"/>
      <c r="AD25" s="426">
        <f t="shared" ca="1" si="6"/>
        <v>27</v>
      </c>
      <c r="AE25" s="543" t="str">
        <f t="shared" si="5"/>
        <v>Oliver Ojasalu</v>
      </c>
      <c r="AF25" s="544">
        <f ca="1">IFERROR(INDEX(Reit!$I:$I,MATCH(AE25,Reit!$F:$F,0)),"")</f>
        <v>27</v>
      </c>
    </row>
    <row r="26" spans="1:37" x14ac:dyDescent="0.2">
      <c r="A26" s="435">
        <v>19</v>
      </c>
      <c r="B26" s="446" t="s">
        <v>112</v>
      </c>
      <c r="C26" s="437"/>
      <c r="D26" s="438" t="s">
        <v>246</v>
      </c>
      <c r="E26" s="439"/>
      <c r="F26" s="440"/>
      <c r="G26" s="437"/>
      <c r="H26" s="438" t="s">
        <v>246</v>
      </c>
      <c r="I26" s="439"/>
      <c r="J26" s="440"/>
      <c r="K26" s="437"/>
      <c r="L26" s="438" t="s">
        <v>246</v>
      </c>
      <c r="M26" s="439"/>
      <c r="N26" s="440"/>
      <c r="O26" s="437"/>
      <c r="P26" s="438" t="s">
        <v>246</v>
      </c>
      <c r="Q26" s="439"/>
      <c r="R26" s="440"/>
      <c r="S26" s="437"/>
      <c r="T26" s="438" t="s">
        <v>246</v>
      </c>
      <c r="U26" s="439"/>
      <c r="V26" s="440"/>
      <c r="W26" s="441">
        <f t="shared" si="0"/>
        <v>0</v>
      </c>
      <c r="X26" s="442"/>
      <c r="Y26" s="437">
        <f t="shared" si="1"/>
        <v>0</v>
      </c>
      <c r="Z26" s="438" t="s">
        <v>246</v>
      </c>
      <c r="AA26" s="443">
        <f t="shared" si="2"/>
        <v>0</v>
      </c>
      <c r="AB26" s="444">
        <f t="shared" si="3"/>
        <v>0</v>
      </c>
      <c r="AC26" s="403"/>
      <c r="AD26" s="426">
        <f t="shared" ca="1" si="6"/>
        <v>197</v>
      </c>
      <c r="AE26" s="543" t="str">
        <f t="shared" si="5"/>
        <v>Andres Veski</v>
      </c>
      <c r="AF26" s="544">
        <f ca="1">IFERROR(INDEX(Reit!$I:$I,MATCH(AE26,Reit!$F:$F,0)),"")</f>
        <v>197</v>
      </c>
    </row>
    <row r="27" spans="1:37" x14ac:dyDescent="0.2">
      <c r="A27" s="435">
        <v>20</v>
      </c>
      <c r="B27" s="446" t="s">
        <v>156</v>
      </c>
      <c r="C27" s="437"/>
      <c r="D27" s="438" t="s">
        <v>246</v>
      </c>
      <c r="E27" s="439"/>
      <c r="F27" s="440"/>
      <c r="G27" s="437"/>
      <c r="H27" s="438" t="s">
        <v>246</v>
      </c>
      <c r="I27" s="439"/>
      <c r="J27" s="440"/>
      <c r="K27" s="437"/>
      <c r="L27" s="438" t="s">
        <v>246</v>
      </c>
      <c r="M27" s="439"/>
      <c r="N27" s="440"/>
      <c r="O27" s="437"/>
      <c r="P27" s="438" t="s">
        <v>246</v>
      </c>
      <c r="Q27" s="439"/>
      <c r="R27" s="440"/>
      <c r="S27" s="437"/>
      <c r="T27" s="438" t="s">
        <v>246</v>
      </c>
      <c r="U27" s="439"/>
      <c r="V27" s="440"/>
      <c r="W27" s="441">
        <f t="shared" si="0"/>
        <v>0</v>
      </c>
      <c r="X27" s="442"/>
      <c r="Y27" s="437">
        <f t="shared" si="1"/>
        <v>0</v>
      </c>
      <c r="Z27" s="438" t="s">
        <v>246</v>
      </c>
      <c r="AA27" s="443">
        <f t="shared" si="2"/>
        <v>0</v>
      </c>
      <c r="AB27" s="444">
        <f t="shared" si="3"/>
        <v>0</v>
      </c>
      <c r="AC27" s="403"/>
      <c r="AD27" s="426">
        <f t="shared" ca="1" si="6"/>
        <v>130</v>
      </c>
      <c r="AE27" s="543" t="str">
        <f t="shared" si="5"/>
        <v>Marta Bernat</v>
      </c>
      <c r="AF27" s="544">
        <f ca="1">IFERROR(INDEX(Reit!$I:$I,MATCH(AE27,Reit!$F:$F,0)),"")</f>
        <v>130</v>
      </c>
    </row>
    <row r="28" spans="1:37" x14ac:dyDescent="0.2">
      <c r="A28" s="435">
        <v>21</v>
      </c>
      <c r="B28" s="446" t="s">
        <v>136</v>
      </c>
      <c r="C28" s="437"/>
      <c r="D28" s="438" t="s">
        <v>246</v>
      </c>
      <c r="E28" s="439"/>
      <c r="F28" s="440"/>
      <c r="G28" s="437"/>
      <c r="H28" s="438" t="s">
        <v>246</v>
      </c>
      <c r="I28" s="439"/>
      <c r="J28" s="440"/>
      <c r="K28" s="437"/>
      <c r="L28" s="438" t="s">
        <v>246</v>
      </c>
      <c r="M28" s="439"/>
      <c r="N28" s="440"/>
      <c r="O28" s="437"/>
      <c r="P28" s="438" t="s">
        <v>246</v>
      </c>
      <c r="Q28" s="439"/>
      <c r="R28" s="440"/>
      <c r="S28" s="437"/>
      <c r="T28" s="438" t="s">
        <v>246</v>
      </c>
      <c r="U28" s="439"/>
      <c r="V28" s="440"/>
      <c r="W28" s="441">
        <f t="shared" si="0"/>
        <v>0</v>
      </c>
      <c r="X28" s="442"/>
      <c r="Y28" s="437">
        <f t="shared" si="1"/>
        <v>0</v>
      </c>
      <c r="Z28" s="438" t="s">
        <v>246</v>
      </c>
      <c r="AA28" s="443">
        <f t="shared" si="2"/>
        <v>0</v>
      </c>
      <c r="AB28" s="444">
        <f t="shared" si="3"/>
        <v>0</v>
      </c>
      <c r="AC28" s="403"/>
      <c r="AD28" s="426">
        <f t="shared" ca="1" si="6"/>
        <v>92</v>
      </c>
      <c r="AE28" s="543" t="str">
        <f t="shared" si="5"/>
        <v>Lemmit Toomra</v>
      </c>
      <c r="AF28" s="544">
        <f ca="1">IFERROR(INDEX(Reit!$I:$I,MATCH(AE28,Reit!$F:$F,0)),"")</f>
        <v>92</v>
      </c>
    </row>
    <row r="29" spans="1:37"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row>
    <row r="30" spans="1:37"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row>
    <row r="31" spans="1:37"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row>
    <row r="32" spans="1:37"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row>
    <row r="33" spans="1:37"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row>
    <row r="34" spans="1:37"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row>
    <row r="35" spans="1:37"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row>
    <row r="36" spans="1:37"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row>
    <row r="37" spans="1:37"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row>
    <row r="38" spans="1:37"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row>
    <row r="39" spans="1:37"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row>
    <row r="40" spans="1:37"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row>
    <row r="41" spans="1:37"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row>
    <row r="42" spans="1:37"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row>
    <row r="43" spans="1:37"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row>
    <row r="44" spans="1:37"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row>
    <row r="45" spans="1:37"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row>
    <row r="46" spans="1:37"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row>
    <row r="47" spans="1:37"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row>
    <row r="48" spans="1:37"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row>
    <row r="49" spans="1:32"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row>
    <row r="50" spans="1:32"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row>
    <row r="51" spans="1:32"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row>
    <row r="52" spans="1:32"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row>
    <row r="53" spans="1:32"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row>
    <row r="54" spans="1:32"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row>
    <row r="55" spans="1:32"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row>
    <row r="56" spans="1:32"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row>
    <row r="57" spans="1:32"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row>
    <row r="58" spans="1:32"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row>
    <row r="59" spans="1:32"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row>
    <row r="60" spans="1:32"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row>
    <row r="61" spans="1:32"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row>
    <row r="62" spans="1:32"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row>
    <row r="63" spans="1:32"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row>
    <row r="64" spans="1:32"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row>
    <row r="65" spans="1:32"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row>
    <row r="66" spans="1:32"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row>
    <row r="67" spans="1:32"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row>
    <row r="68" spans="1:32"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row>
    <row r="69" spans="1:32"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row>
    <row r="70" spans="1:32"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row>
    <row r="71" spans="1:32"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row>
    <row r="72" spans="1:32"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row>
    <row r="73" spans="1:32"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row>
    <row r="74" spans="1:32"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row>
    <row r="75" spans="1:32"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row>
    <row r="76" spans="1:32"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row>
    <row r="77" spans="1:32"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row>
    <row r="78" spans="1:32"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row>
    <row r="79" spans="1:32"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row>
    <row r="80" spans="1:32"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row>
    <row r="81" spans="1:32"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row>
    <row r="82" spans="1:32"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row>
    <row r="83" spans="1:32"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row>
    <row r="84" spans="1:32"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row>
    <row r="85" spans="1:32"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row>
    <row r="86" spans="1:32"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row>
    <row r="87" spans="1:32"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row>
    <row r="88" spans="1:32"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row>
    <row r="89" spans="1:32"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row>
    <row r="90" spans="1:32"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row>
    <row r="91" spans="1:32"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row>
    <row r="92" spans="1:32"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row>
    <row r="93" spans="1:32"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row>
    <row r="94" spans="1:32"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row>
    <row r="95" spans="1:32"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row>
    <row r="96" spans="1:32"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row>
    <row r="97" spans="1:32"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row>
    <row r="98" spans="1:32"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row>
    <row r="99" spans="1:32"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row>
    <row r="100" spans="1:32"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row>
    <row r="101" spans="1:32"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row>
    <row r="102" spans="1:32"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row>
    <row r="103" spans="1:32"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row>
    <row r="104" spans="1:32"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row>
    <row r="105" spans="1:32"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row>
    <row r="106" spans="1:32"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row>
    <row r="107" spans="1:32"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row>
    <row r="108" spans="1:32"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row>
    <row r="109" spans="1:32"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row>
    <row r="110" spans="1:32"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row>
    <row r="111" spans="1:32"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row>
    <row r="112" spans="1:32"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row>
    <row r="113" spans="1:32"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row>
    <row r="114" spans="1:32"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row>
    <row r="115" spans="1:32"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row>
    <row r="116" spans="1:32"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row>
    <row r="117" spans="1:32"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row>
    <row r="118" spans="1:32"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row>
    <row r="119" spans="1:32"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row>
    <row r="120" spans="1:32"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row>
    <row r="121" spans="1:32"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row>
    <row r="122" spans="1:32"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row>
    <row r="123" spans="1:32"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row>
    <row r="124" spans="1:32"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row>
    <row r="125" spans="1:32"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row>
    <row r="126" spans="1:32"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row>
    <row r="127" spans="1:32"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row>
    <row r="128" spans="1:32"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row>
    <row r="129" spans="1:32"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row>
    <row r="130" spans="1:32"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row>
    <row r="131" spans="1:32"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row>
    <row r="132" spans="1:32"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row>
    <row r="133" spans="1:32"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row>
    <row r="134" spans="1:32"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row>
    <row r="135" spans="1:32"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row>
    <row r="136" spans="1:32"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row>
    <row r="137" spans="1:32" hidden="1"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row>
    <row r="138" spans="1:32" hidden="1"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row>
    <row r="139" spans="1:32" hidden="1"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row>
    <row r="140" spans="1:32" hidden="1"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row>
    <row r="141" spans="1:32"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row>
    <row r="142" spans="1:32"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row>
    <row r="143" spans="1:32"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row>
    <row r="144" spans="1:32"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row>
    <row r="145" spans="1:32"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row>
    <row r="146" spans="1:32"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row>
    <row r="147" spans="1:32"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row>
    <row r="148" spans="1:32"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row>
    <row r="149" spans="1:32"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row>
    <row r="150" spans="1:32"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row>
    <row r="151" spans="1:32"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03"/>
      <c r="AE151" s="403"/>
      <c r="AF151" s="403"/>
    </row>
    <row r="152" spans="1:32"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03"/>
      <c r="AE152" s="403"/>
      <c r="AF152" s="403"/>
    </row>
    <row r="153" spans="1:32" hidden="1"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c r="AD153" s="403"/>
      <c r="AE153" s="403"/>
      <c r="AF153" s="403"/>
    </row>
    <row r="154" spans="1:32" hidden="1" x14ac:dyDescent="0.2">
      <c r="A154" s="403"/>
      <c r="B154" s="403"/>
      <c r="C154" s="403"/>
      <c r="D154" s="403"/>
      <c r="E154" s="403"/>
      <c r="F154" s="403"/>
      <c r="G154" s="403"/>
      <c r="H154" s="403"/>
      <c r="I154" s="403"/>
      <c r="J154" s="403"/>
      <c r="K154" s="403"/>
      <c r="L154" s="407"/>
      <c r="M154" s="407"/>
      <c r="N154" s="407"/>
      <c r="O154" s="403"/>
      <c r="P154" s="403"/>
      <c r="Q154" s="403"/>
      <c r="R154" s="403"/>
      <c r="S154" s="403"/>
      <c r="T154" s="407"/>
      <c r="U154" s="407"/>
      <c r="V154" s="407"/>
      <c r="W154" s="403"/>
      <c r="X154" s="403"/>
      <c r="Y154" s="403"/>
      <c r="Z154" s="403"/>
      <c r="AA154" s="403"/>
      <c r="AB154" s="403"/>
      <c r="AC154" s="403"/>
      <c r="AD154" s="403"/>
      <c r="AE154" s="403"/>
      <c r="AF154" s="403"/>
    </row>
    <row r="155" spans="1:32" hidden="1" x14ac:dyDescent="0.2">
      <c r="A155" s="403"/>
      <c r="B155" s="403"/>
      <c r="C155" s="403"/>
      <c r="D155" s="403"/>
      <c r="E155" s="403"/>
      <c r="F155" s="403"/>
      <c r="G155" s="403"/>
      <c r="H155" s="403"/>
      <c r="I155" s="403"/>
      <c r="J155" s="403"/>
      <c r="K155" s="403"/>
      <c r="L155" s="407"/>
      <c r="M155" s="407"/>
      <c r="N155" s="407"/>
      <c r="O155" s="403"/>
      <c r="P155" s="403"/>
      <c r="Q155" s="403"/>
      <c r="R155" s="403"/>
      <c r="S155" s="403"/>
      <c r="T155" s="407"/>
      <c r="U155" s="407"/>
      <c r="V155" s="407"/>
      <c r="W155" s="403"/>
      <c r="X155" s="403"/>
      <c r="Y155" s="403"/>
      <c r="Z155" s="403"/>
      <c r="AA155" s="403"/>
      <c r="AB155" s="403"/>
      <c r="AC155" s="403"/>
      <c r="AD155" s="403"/>
      <c r="AE155" s="403"/>
      <c r="AF155" s="403"/>
    </row>
    <row r="156" spans="1:32" hidden="1" x14ac:dyDescent="0.2">
      <c r="A156" s="403"/>
      <c r="B156" s="403"/>
      <c r="C156" s="403"/>
      <c r="D156" s="403"/>
      <c r="E156" s="403"/>
      <c r="F156" s="403"/>
      <c r="G156" s="403"/>
      <c r="H156" s="403"/>
      <c r="I156" s="403"/>
      <c r="J156" s="403"/>
      <c r="K156" s="403"/>
      <c r="L156" s="407"/>
      <c r="M156" s="407"/>
      <c r="N156" s="407"/>
      <c r="O156" s="403"/>
      <c r="P156" s="403"/>
      <c r="Q156" s="403"/>
      <c r="R156" s="403"/>
      <c r="S156" s="403"/>
      <c r="T156" s="407"/>
      <c r="U156" s="407"/>
      <c r="V156" s="407"/>
      <c r="W156" s="403"/>
      <c r="X156" s="403"/>
      <c r="Y156" s="403"/>
      <c r="Z156" s="403"/>
      <c r="AA156" s="403"/>
      <c r="AB156" s="403"/>
      <c r="AC156" s="403"/>
      <c r="AD156" s="403"/>
      <c r="AE156" s="403"/>
      <c r="AF156" s="403"/>
    </row>
    <row r="157" spans="1:32"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row>
    <row r="158" spans="1:32"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row>
    <row r="159" spans="1:32"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row>
    <row r="160" spans="1:32"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row>
    <row r="161" spans="1:32"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row>
    <row r="162" spans="1:32"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row>
    <row r="163" spans="1:32"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row>
    <row r="164" spans="1:32"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row>
    <row r="165" spans="1:32"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row>
    <row r="166" spans="1:32" hidden="1"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row>
    <row r="167" spans="1:32" hidden="1"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row>
    <row r="168" spans="1:32" hidden="1"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row>
    <row r="169" spans="1:32" hidden="1"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row>
    <row r="170" spans="1:32"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row>
    <row r="171" spans="1:32"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row>
    <row r="172" spans="1:32"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row>
    <row r="173" spans="1:32"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row>
    <row r="174" spans="1:32"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row>
    <row r="175" spans="1:32"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row>
    <row r="176" spans="1:32"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row>
    <row r="177" spans="1:32"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row>
    <row r="178" spans="1:32"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row>
    <row r="179" spans="1:32"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row>
    <row r="180" spans="1:32"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row>
    <row r="181" spans="1:32"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row>
    <row r="182" spans="1:32"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row>
    <row r="183" spans="1:32"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row>
    <row r="184" spans="1:32"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row>
    <row r="185" spans="1:32"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row>
    <row r="186" spans="1:32"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row>
    <row r="187" spans="1:32"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row>
    <row r="188" spans="1:32"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row>
    <row r="189" spans="1:32"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row>
    <row r="190" spans="1:32"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row>
    <row r="191" spans="1:32"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row>
    <row r="192" spans="1:32"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row>
    <row r="193" spans="1:32"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row>
    <row r="194" spans="1:32"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row>
    <row r="195" spans="1:32"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row>
    <row r="196" spans="1:32"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row>
    <row r="197" spans="1:32"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row>
    <row r="198" spans="1:32"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row>
    <row r="199" spans="1:32"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row>
    <row r="200" spans="1:32"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row>
    <row r="201" spans="1:32"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row>
    <row r="202" spans="1:32"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row>
    <row r="203" spans="1:32"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row>
    <row r="204" spans="1:32"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row>
    <row r="205" spans="1:32"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row>
    <row r="206" spans="1:32"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row>
    <row r="207" spans="1:32"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row>
    <row r="208" spans="1:32"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row>
    <row r="209" spans="1:32"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row>
    <row r="210" spans="1:32"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row>
    <row r="211" spans="1:32"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row>
    <row r="212" spans="1:32"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row>
    <row r="213" spans="1:32"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row>
    <row r="214" spans="1:32"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row>
    <row r="215" spans="1:32"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row>
    <row r="216" spans="1:32"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row>
    <row r="217" spans="1:32"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row>
    <row r="218" spans="1:32"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row>
    <row r="219" spans="1:32"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row>
    <row r="220" spans="1:32"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row>
    <row r="221" spans="1:32"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row>
    <row r="222" spans="1:32"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row>
    <row r="223" spans="1:32"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row>
    <row r="224" spans="1:32"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row>
    <row r="225" spans="1:32"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row>
    <row r="226" spans="1:32"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row>
    <row r="227" spans="1:32"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row>
    <row r="228" spans="1:32"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row>
    <row r="229" spans="1:32"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row>
    <row r="230" spans="1:32"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row>
    <row r="231" spans="1:32"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row>
    <row r="232" spans="1:32"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row>
    <row r="233" spans="1:32"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row>
    <row r="234" spans="1:32"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row>
    <row r="235" spans="1:32"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row>
    <row r="236" spans="1:32"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row>
    <row r="237" spans="1:32"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row>
    <row r="238" spans="1:32"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row>
    <row r="239" spans="1:32"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row>
    <row r="240" spans="1:32"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row>
    <row r="241" spans="1:32"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row>
    <row r="242" spans="1:32"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row>
    <row r="243" spans="1:32"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row>
    <row r="244" spans="1:32"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row>
    <row r="245" spans="1:32"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row>
    <row r="246" spans="1:32"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row>
    <row r="247" spans="1:32"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row>
    <row r="248" spans="1:32"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row>
    <row r="249" spans="1:32"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row>
    <row r="250" spans="1:32"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row>
    <row r="251" spans="1:32"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row>
    <row r="252" spans="1:32"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row>
    <row r="253" spans="1:32"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row>
    <row r="254" spans="1:32"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row>
    <row r="255" spans="1:32"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row>
    <row r="256" spans="1:32"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row>
    <row r="257" spans="1:32"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row>
    <row r="258" spans="1:32"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row>
    <row r="259" spans="1:32"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row>
    <row r="260" spans="1:32"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row>
    <row r="261" spans="1:32"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row>
    <row r="262" spans="1:32"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row>
    <row r="263" spans="1:32"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row>
    <row r="264" spans="1:32"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row>
    <row r="265" spans="1:32"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row>
    <row r="266" spans="1:32"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row>
    <row r="267" spans="1:32"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row>
    <row r="268" spans="1:32"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row>
    <row r="269" spans="1:32"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row>
    <row r="270" spans="1:32"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row>
    <row r="271" spans="1:32"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row>
    <row r="272" spans="1:32"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row>
    <row r="273" spans="1:32"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row>
    <row r="274" spans="1:32"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row>
    <row r="275" spans="1:32"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row>
    <row r="276" spans="1:32"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row>
    <row r="277" spans="1:32"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row>
    <row r="278" spans="1:32"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row>
    <row r="279" spans="1:32"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row>
    <row r="280" spans="1:32"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row>
    <row r="281" spans="1:32"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row>
    <row r="282" spans="1:32"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row>
    <row r="283" spans="1:32"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row>
    <row r="284" spans="1:32"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row>
    <row r="285" spans="1:32"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row>
    <row r="286" spans="1:32"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row>
    <row r="287" spans="1:32"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03"/>
      <c r="AE287" s="403"/>
      <c r="AF287" s="403"/>
    </row>
    <row r="288" spans="1:32"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03"/>
      <c r="AE288" s="403"/>
      <c r="AF288" s="403"/>
    </row>
    <row r="289" spans="1:32" hidden="1"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c r="AD289" s="403"/>
      <c r="AE289" s="403"/>
      <c r="AF289" s="403"/>
    </row>
    <row r="290" spans="1:32" hidden="1" x14ac:dyDescent="0.2">
      <c r="A290" s="403"/>
      <c r="B290" s="403"/>
      <c r="C290" s="403"/>
      <c r="D290" s="403"/>
      <c r="E290" s="403"/>
      <c r="F290" s="403"/>
      <c r="G290" s="403"/>
      <c r="H290" s="403"/>
      <c r="I290" s="403"/>
      <c r="J290" s="403"/>
      <c r="K290" s="403"/>
      <c r="L290" s="407"/>
      <c r="M290" s="407"/>
      <c r="N290" s="407"/>
      <c r="O290" s="403"/>
      <c r="P290" s="403"/>
      <c r="Q290" s="403"/>
      <c r="R290" s="403"/>
      <c r="S290" s="403"/>
      <c r="T290" s="407"/>
      <c r="U290" s="407"/>
      <c r="V290" s="407"/>
      <c r="W290" s="403"/>
      <c r="X290" s="403"/>
      <c r="Y290" s="403"/>
      <c r="Z290" s="403"/>
      <c r="AA290" s="403"/>
      <c r="AB290" s="403"/>
      <c r="AC290" s="403"/>
      <c r="AD290" s="403"/>
      <c r="AE290" s="403"/>
      <c r="AF290" s="403"/>
    </row>
    <row r="291" spans="1:32" hidden="1" x14ac:dyDescent="0.2">
      <c r="A291" s="403"/>
      <c r="B291" s="403"/>
      <c r="C291" s="403"/>
      <c r="D291" s="403"/>
      <c r="E291" s="403"/>
      <c r="F291" s="403"/>
      <c r="G291" s="403"/>
      <c r="H291" s="403"/>
      <c r="I291" s="403"/>
      <c r="J291" s="403"/>
      <c r="K291" s="403"/>
      <c r="L291" s="407"/>
      <c r="M291" s="407"/>
      <c r="N291" s="407"/>
      <c r="O291" s="403"/>
      <c r="P291" s="403"/>
      <c r="Q291" s="403"/>
      <c r="R291" s="403"/>
      <c r="S291" s="403"/>
      <c r="T291" s="407"/>
      <c r="U291" s="407"/>
      <c r="V291" s="407"/>
      <c r="W291" s="403"/>
      <c r="X291" s="403"/>
      <c r="Y291" s="403"/>
      <c r="Z291" s="403"/>
      <c r="AA291" s="403"/>
      <c r="AB291" s="403"/>
      <c r="AC291" s="403"/>
      <c r="AD291" s="403"/>
      <c r="AE291" s="403"/>
      <c r="AF291" s="403"/>
    </row>
    <row r="292" spans="1:32" hidden="1" x14ac:dyDescent="0.2">
      <c r="A292" s="403"/>
      <c r="B292" s="403"/>
      <c r="C292" s="403"/>
      <c r="D292" s="403"/>
      <c r="E292" s="403"/>
      <c r="F292" s="403"/>
      <c r="G292" s="403"/>
      <c r="H292" s="403"/>
      <c r="I292" s="403"/>
      <c r="J292" s="403"/>
      <c r="K292" s="403"/>
      <c r="L292" s="407"/>
      <c r="M292" s="407"/>
      <c r="N292" s="407"/>
      <c r="O292" s="403"/>
      <c r="P292" s="403"/>
      <c r="Q292" s="403"/>
      <c r="R292" s="403"/>
      <c r="S292" s="403"/>
      <c r="T292" s="407"/>
      <c r="U292" s="407"/>
      <c r="V292" s="407"/>
      <c r="W292" s="403"/>
      <c r="X292" s="403"/>
      <c r="Y292" s="403"/>
      <c r="Z292" s="403"/>
      <c r="AA292" s="403"/>
      <c r="AB292" s="403"/>
      <c r="AC292" s="403"/>
      <c r="AD292" s="403"/>
      <c r="AE292" s="403"/>
      <c r="AF292" s="403"/>
    </row>
    <row r="293" spans="1:32" hidden="1" x14ac:dyDescent="0.2">
      <c r="D293" s="448"/>
      <c r="E293" s="448"/>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row>
    <row r="294" spans="1:32" hidden="1" x14ac:dyDescent="0.2">
      <c r="D294" s="452"/>
      <c r="E294" s="452"/>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row>
    <row r="295" spans="1:32"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53"/>
      <c r="X295" s="403"/>
      <c r="Y295" s="403"/>
      <c r="Z295" s="403"/>
      <c r="AA295" s="403"/>
      <c r="AB295" s="403"/>
      <c r="AC295" s="403"/>
      <c r="AD295" s="403"/>
      <c r="AE295" s="403"/>
      <c r="AF295" s="403"/>
    </row>
    <row r="296" spans="1:32"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row>
    <row r="297" spans="1:32"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row>
    <row r="298" spans="1:32" x14ac:dyDescent="0.2">
      <c r="D298" s="404"/>
      <c r="E298" s="404"/>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row>
    <row r="299" spans="1:32" x14ac:dyDescent="0.2">
      <c r="A299" s="403"/>
      <c r="B299" s="403"/>
      <c r="C299" s="447" t="s">
        <v>69</v>
      </c>
      <c r="D299" s="404"/>
      <c r="E299" s="404"/>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row>
    <row r="300" spans="1:32" x14ac:dyDescent="0.2">
      <c r="A300" s="449">
        <v>1</v>
      </c>
      <c r="B300" s="450" t="str">
        <f t="shared" ref="B300:B320" si="7">IFERROR(INDEX(B$1:B$94,MATCH(A300,A$1:A$94,0)),"")</f>
        <v>Kenneth Muusikus</v>
      </c>
      <c r="C300" s="981">
        <v>40</v>
      </c>
      <c r="D300" s="621"/>
      <c r="E300" s="404"/>
      <c r="F300" s="403"/>
      <c r="G300" s="403"/>
      <c r="H300" s="403"/>
      <c r="I300" s="403"/>
      <c r="J300" s="403"/>
      <c r="K300" s="403"/>
      <c r="L300" s="403"/>
      <c r="M300" s="403"/>
      <c r="N300" s="403"/>
      <c r="O300" s="403"/>
      <c r="P300" s="403"/>
      <c r="Q300" s="403"/>
      <c r="R300" s="403"/>
      <c r="S300" s="403"/>
      <c r="T300" s="403"/>
      <c r="U300" s="403"/>
      <c r="V300" s="403"/>
      <c r="W300" s="453"/>
      <c r="X300" s="403"/>
      <c r="Y300" s="403"/>
      <c r="Z300" s="403"/>
      <c r="AA300" s="403"/>
      <c r="AB300" s="403"/>
      <c r="AC300" s="403"/>
      <c r="AD300" s="403"/>
      <c r="AE300" s="403"/>
      <c r="AF300" s="403"/>
    </row>
    <row r="301" spans="1:32" x14ac:dyDescent="0.2">
      <c r="A301" s="449">
        <v>2</v>
      </c>
      <c r="B301" s="450" t="str">
        <f t="shared" si="7"/>
        <v>Matti Vinni</v>
      </c>
      <c r="C301" s="981">
        <v>34</v>
      </c>
      <c r="D301" s="621"/>
      <c r="E301" s="404"/>
      <c r="F301" s="403"/>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row>
    <row r="302" spans="1:32" x14ac:dyDescent="0.2">
      <c r="A302" s="449">
        <v>3</v>
      </c>
      <c r="B302" s="450" t="str">
        <f t="shared" si="7"/>
        <v>Andrei Grintšak</v>
      </c>
      <c r="C302" s="981">
        <v>30</v>
      </c>
      <c r="D302" s="621"/>
      <c r="E302" s="404"/>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row>
    <row r="303" spans="1:32" x14ac:dyDescent="0.2">
      <c r="A303" s="449">
        <v>4</v>
      </c>
      <c r="B303" s="450" t="str">
        <f t="shared" si="7"/>
        <v>Oleg Rõndenkov</v>
      </c>
      <c r="C303" s="981">
        <v>26</v>
      </c>
      <c r="D303" s="621"/>
      <c r="E303" s="404"/>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row>
    <row r="304" spans="1:32" x14ac:dyDescent="0.2">
      <c r="A304" s="449">
        <v>5</v>
      </c>
      <c r="B304" s="450" t="str">
        <f t="shared" si="7"/>
        <v>Tõnu Kapper</v>
      </c>
      <c r="C304" s="981">
        <v>24</v>
      </c>
      <c r="D304" s="451"/>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row>
    <row r="305" spans="1:32" x14ac:dyDescent="0.2">
      <c r="A305" s="449">
        <v>6</v>
      </c>
      <c r="B305" s="450" t="str">
        <f t="shared" si="7"/>
        <v>Ivar Viljaste</v>
      </c>
      <c r="C305" s="981">
        <v>22</v>
      </c>
      <c r="D305" s="451"/>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row>
    <row r="306" spans="1:32" x14ac:dyDescent="0.2">
      <c r="A306" s="449">
        <v>7</v>
      </c>
      <c r="B306" s="450" t="str">
        <f t="shared" si="7"/>
        <v>Sirje Viljaste</v>
      </c>
      <c r="C306" s="981">
        <v>20</v>
      </c>
      <c r="D306" s="451"/>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c r="AA306" s="403"/>
      <c r="AB306" s="403"/>
      <c r="AC306" s="403"/>
      <c r="AD306" s="403"/>
      <c r="AE306" s="403"/>
      <c r="AF306" s="403"/>
    </row>
    <row r="307" spans="1:32" x14ac:dyDescent="0.2">
      <c r="A307" s="449">
        <v>8</v>
      </c>
      <c r="B307" s="450" t="str">
        <f t="shared" si="7"/>
        <v>Ljudmila Varendi</v>
      </c>
      <c r="C307" s="981">
        <v>18</v>
      </c>
      <c r="D307" s="461"/>
    </row>
    <row r="308" spans="1:32" x14ac:dyDescent="0.2">
      <c r="A308" s="449">
        <v>9</v>
      </c>
      <c r="B308" s="450" t="str">
        <f t="shared" si="7"/>
        <v>Aarne Välja</v>
      </c>
      <c r="C308" s="981">
        <v>16</v>
      </c>
      <c r="D308" s="461"/>
    </row>
    <row r="309" spans="1:32" x14ac:dyDescent="0.2">
      <c r="A309" s="449">
        <v>10</v>
      </c>
      <c r="B309" s="450" t="str">
        <f t="shared" si="7"/>
        <v>Vello Vasser</v>
      </c>
      <c r="C309" s="621">
        <v>14</v>
      </c>
      <c r="D309" s="461"/>
    </row>
    <row r="310" spans="1:32" x14ac:dyDescent="0.2">
      <c r="A310" s="449">
        <v>11</v>
      </c>
      <c r="B310" s="450" t="str">
        <f t="shared" si="7"/>
        <v>Viktor Švarõgin</v>
      </c>
      <c r="C310" s="621">
        <v>12</v>
      </c>
      <c r="D310" s="461"/>
    </row>
    <row r="311" spans="1:32" x14ac:dyDescent="0.2">
      <c r="A311" s="449">
        <v>12</v>
      </c>
      <c r="B311" s="450" t="str">
        <f t="shared" si="7"/>
        <v>Oskar Sepp</v>
      </c>
      <c r="C311" s="621">
        <v>10</v>
      </c>
      <c r="D311" s="461"/>
    </row>
    <row r="312" spans="1:32" x14ac:dyDescent="0.2">
      <c r="A312" s="449">
        <v>13</v>
      </c>
      <c r="B312" s="450" t="str">
        <f t="shared" si="7"/>
        <v>Jaan Sepp</v>
      </c>
      <c r="C312" s="621">
        <v>8</v>
      </c>
      <c r="D312" s="461"/>
    </row>
    <row r="313" spans="1:32" x14ac:dyDescent="0.2">
      <c r="A313" s="449">
        <v>14</v>
      </c>
      <c r="B313" s="450" t="str">
        <f t="shared" si="7"/>
        <v>Meelis Luud</v>
      </c>
      <c r="C313" s="621">
        <v>6</v>
      </c>
      <c r="D313" s="461"/>
    </row>
    <row r="314" spans="1:32" x14ac:dyDescent="0.2">
      <c r="A314" s="449">
        <v>15</v>
      </c>
      <c r="B314" s="450" t="str">
        <f t="shared" si="7"/>
        <v>Sander Rose</v>
      </c>
      <c r="C314" s="621">
        <v>4</v>
      </c>
      <c r="D314" s="461"/>
    </row>
    <row r="315" spans="1:32" x14ac:dyDescent="0.2">
      <c r="A315" s="449">
        <v>16</v>
      </c>
      <c r="B315" s="450" t="str">
        <f t="shared" si="7"/>
        <v>Svetlana Veski</v>
      </c>
      <c r="C315" s="621">
        <v>2</v>
      </c>
      <c r="D315" s="461"/>
    </row>
    <row r="316" spans="1:32" x14ac:dyDescent="0.2">
      <c r="A316" s="449">
        <v>17</v>
      </c>
      <c r="B316" s="450" t="str">
        <f t="shared" si="7"/>
        <v>Janek Tarto</v>
      </c>
      <c r="C316" s="621">
        <v>1</v>
      </c>
      <c r="D316" s="461"/>
    </row>
    <row r="317" spans="1:32" x14ac:dyDescent="0.2">
      <c r="A317" s="449">
        <v>18</v>
      </c>
      <c r="B317" s="450" t="str">
        <f t="shared" si="7"/>
        <v>Oliver Ojasalu</v>
      </c>
      <c r="C317" s="621">
        <v>1</v>
      </c>
      <c r="D317" s="461"/>
    </row>
    <row r="318" spans="1:32" x14ac:dyDescent="0.2">
      <c r="A318" s="449">
        <v>19</v>
      </c>
      <c r="B318" s="450" t="str">
        <f t="shared" si="7"/>
        <v>Andres Veski</v>
      </c>
      <c r="C318" s="621">
        <v>1</v>
      </c>
    </row>
    <row r="319" spans="1:32" x14ac:dyDescent="0.2">
      <c r="A319" s="449">
        <v>20</v>
      </c>
      <c r="B319" s="450" t="str">
        <f t="shared" si="7"/>
        <v>Marta Bernat</v>
      </c>
      <c r="C319" s="621">
        <v>1</v>
      </c>
    </row>
    <row r="320" spans="1:32" x14ac:dyDescent="0.2">
      <c r="A320" s="449">
        <v>21</v>
      </c>
      <c r="B320" s="450" t="str">
        <f t="shared" si="7"/>
        <v>Lemmit Toomra</v>
      </c>
      <c r="C320" s="621">
        <v>1</v>
      </c>
    </row>
  </sheetData>
  <conditionalFormatting sqref="C8:C28">
    <cfRule type="expression" dxfId="1880" priority="15">
      <formula>IF($C8&gt;$E8,TRUE)</formula>
    </cfRule>
  </conditionalFormatting>
  <conditionalFormatting sqref="E8:E28">
    <cfRule type="expression" dxfId="1879" priority="16">
      <formula>IF($C8&lt;$E8,TRUE)</formula>
    </cfRule>
  </conditionalFormatting>
  <conditionalFormatting sqref="K8:K28">
    <cfRule type="expression" dxfId="1878" priority="23">
      <formula>IF($K8&gt;$M8,TRUE)</formula>
    </cfRule>
  </conditionalFormatting>
  <conditionalFormatting sqref="M8:M28">
    <cfRule type="expression" dxfId="1877" priority="24">
      <formula>IF($K8&lt;$M8,TRUE)</formula>
    </cfRule>
  </conditionalFormatting>
  <conditionalFormatting sqref="O8:O28">
    <cfRule type="expression" dxfId="1876" priority="27">
      <formula>IF($O8&gt;$Q8,TRUE)</formula>
    </cfRule>
  </conditionalFormatting>
  <conditionalFormatting sqref="Q8:Q28">
    <cfRule type="expression" dxfId="1875" priority="28">
      <formula>IF($O8&lt;$Q8,TRUE)</formula>
    </cfRule>
  </conditionalFormatting>
  <conditionalFormatting sqref="S8:S28">
    <cfRule type="expression" dxfId="1874" priority="31">
      <formula>IF($S8&gt;$U8,TRUE)</formula>
    </cfRule>
  </conditionalFormatting>
  <conditionalFormatting sqref="U8:U28">
    <cfRule type="expression" dxfId="1873" priority="32">
      <formula>IF($S8&lt;$U8,TRUE)</formula>
    </cfRule>
  </conditionalFormatting>
  <conditionalFormatting sqref="G8:G28">
    <cfRule type="expression" dxfId="1872" priority="19">
      <formula>IF($G8&gt;$I8,TRUE)</formula>
    </cfRule>
  </conditionalFormatting>
  <conditionalFormatting sqref="I8:I28">
    <cfRule type="expression" dxfId="1871" priority="20">
      <formula>IF($G8&lt;$I8,TRUE)</formula>
    </cfRule>
  </conditionalFormatting>
  <conditionalFormatting sqref="F8:F28">
    <cfRule type="containsText" dxfId="1870" priority="6" operator="containsText" text="vaba voor">
      <formula>NOT(ISERROR(SEARCH("vaba voor",F8)))</formula>
    </cfRule>
  </conditionalFormatting>
  <conditionalFormatting sqref="N8:N28">
    <cfRule type="containsText" dxfId="1869" priority="4" operator="containsText" text="vaba voor">
      <formula>NOT(ISERROR(SEARCH("vaba voor",N8)))</formula>
    </cfRule>
  </conditionalFormatting>
  <conditionalFormatting sqref="R8:R28">
    <cfRule type="containsText" dxfId="1868" priority="7" operator="containsText" text="vaba voor">
      <formula>NOT(ISERROR(SEARCH("vaba voor",R8)))</formula>
    </cfRule>
  </conditionalFormatting>
  <conditionalFormatting sqref="V8:V28">
    <cfRule type="containsText" dxfId="1867" priority="3" operator="containsText" text="vaba voor">
      <formula>NOT(ISERROR(SEARCH("vaba voor",V8)))</formula>
    </cfRule>
  </conditionalFormatting>
  <conditionalFormatting sqref="J8:J28">
    <cfRule type="containsText" dxfId="1866" priority="5" operator="containsText" text="vaba voor">
      <formula>NOT(ISERROR(SEARCH("vaba voor",J8)))</formula>
    </cfRule>
  </conditionalFormatting>
  <conditionalFormatting sqref="C8:F28">
    <cfRule type="expression" dxfId="1865" priority="11">
      <formula>IF(AND(ISNUMBER($C8),$C8=$E8),TRUE)</formula>
    </cfRule>
    <cfRule type="expression" dxfId="1864" priority="13">
      <formula>IF($C8&gt;$E8,TRUE)</formula>
    </cfRule>
    <cfRule type="expression" dxfId="1863" priority="14">
      <formula>IF($C8&lt;$E8,TRUE)</formula>
    </cfRule>
  </conditionalFormatting>
  <conditionalFormatting sqref="G8:J28">
    <cfRule type="expression" dxfId="1862" priority="12">
      <formula>IF(AND(ISNUMBER($G8),$G8=$I8),TRUE)</formula>
    </cfRule>
    <cfRule type="expression" dxfId="1861" priority="17">
      <formula>IF($G8&gt;$I8,TRUE)</formula>
    </cfRule>
    <cfRule type="expression" dxfId="1860" priority="18">
      <formula>IF($G8&lt;$I8,TRUE)</formula>
    </cfRule>
  </conditionalFormatting>
  <conditionalFormatting sqref="K8:N28">
    <cfRule type="expression" dxfId="1859" priority="10">
      <formula>IF(AND(ISNUMBER($K8),$K8=$M8),TRUE)</formula>
    </cfRule>
    <cfRule type="expression" dxfId="1858" priority="21">
      <formula>IF($K8&gt;$M8,TRUE)</formula>
    </cfRule>
    <cfRule type="expression" dxfId="1857" priority="22">
      <formula>IF($K8&lt;$M8,TRUE)</formula>
    </cfRule>
  </conditionalFormatting>
  <conditionalFormatting sqref="O8:R28">
    <cfRule type="expression" dxfId="1856" priority="9">
      <formula>IF(AND(ISNUMBER($O8),$O8=$Q8),TRUE)</formula>
    </cfRule>
    <cfRule type="expression" dxfId="1855" priority="25">
      <formula>IF($O8&gt;$Q8,TRUE)</formula>
    </cfRule>
    <cfRule type="expression" dxfId="1854" priority="26">
      <formula>IF($O8&lt;$Q8,TRUE)</formula>
    </cfRule>
  </conditionalFormatting>
  <conditionalFormatting sqref="S8:V28">
    <cfRule type="expression" dxfId="1853" priority="8">
      <formula>IF(AND(ISNUMBER($S8),$S8=$U8),TRUE)</formula>
    </cfRule>
    <cfRule type="expression" dxfId="1852" priority="29">
      <formula>IF($S8&gt;$U8,TRUE)</formula>
    </cfRule>
    <cfRule type="expression" dxfId="1851" priority="30">
      <formula>IF($S8&lt;$U8,TRUE)</formula>
    </cfRule>
  </conditionalFormatting>
  <conditionalFormatting sqref="C8:C28 G8:G28 K8:K28 O8:O28 S8:S28">
    <cfRule type="expression" dxfId="1850" priority="2">
      <formula>AND(C8=0,E8=13)</formula>
    </cfRule>
  </conditionalFormatting>
  <conditionalFormatting sqref="A8:A28">
    <cfRule type="duplicateValues" dxfId="1849" priority="33"/>
  </conditionalFormatting>
  <conditionalFormatting sqref="A300:A320">
    <cfRule type="duplicateValues" dxfId="1848" priority="34"/>
  </conditionalFormatting>
  <conditionalFormatting sqref="B300:B320">
    <cfRule type="expression" dxfId="1847" priority="35">
      <formula>A300=3</formula>
    </cfRule>
    <cfRule type="expression" dxfId="1846" priority="36">
      <formula>A300=2</formula>
    </cfRule>
    <cfRule type="expression" dxfId="1845" priority="37">
      <formula>A300=1</formula>
    </cfRule>
    <cfRule type="containsBlanks" dxfId="1844" priority="38">
      <formula>LEN(TRIM(B300))=0</formula>
    </cfRule>
    <cfRule type="duplicateValues" dxfId="1843" priority="39"/>
  </conditionalFormatting>
  <conditionalFormatting sqref="AE8:AE28">
    <cfRule type="expression" dxfId="1842" priority="1">
      <formula>AND(AF8="",COUNTIF(AE8,"*,*")=0)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08"/>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45.8554687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5.7109375" hidden="1" customWidth="1"/>
    <col min="33" max="33" width="0" hidden="1" customWidth="1"/>
    <col min="34" max="34" width="33.28515625" hidden="1" customWidth="1"/>
    <col min="35" max="35" width="0" hidden="1" customWidth="1"/>
    <col min="36" max="36" width="18.28515625" hidden="1" customWidth="1"/>
    <col min="37" max="37" width="0" hidden="1" customWidth="1"/>
    <col min="38" max="38" width="15.2851562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UPPER((Kalend!E37)&amp;" - "&amp;(Kalend!C37)&amp;" - "&amp;(Kalend!D37))</f>
        <v>12 - IDA-VIRUMAA MV - TRIO</v>
      </c>
      <c r="L1" s="406"/>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"&amp;(Kalend!A37)&amp;" kell "&amp;(Kalend!B37)</f>
        <v>Toimumisaeg: P, 29.08.2021 kell 11:00</v>
      </c>
      <c r="AD2" s="409"/>
      <c r="AE2" s="409"/>
      <c r="AF2" s="409"/>
      <c r="AG2" s="409"/>
      <c r="AH2" s="409"/>
      <c r="AI2" s="585"/>
      <c r="AJ2" s="409"/>
      <c r="AK2" s="409"/>
      <c r="AL2" s="409"/>
      <c r="AM2" s="409"/>
      <c r="AN2" s="409"/>
    </row>
    <row r="3" spans="1:42" x14ac:dyDescent="0.2">
      <c r="A3" s="409" t="str">
        <f>"Toimumiskoht: "&amp;(Kalend!F37)</f>
        <v>Toimumiskoht: K-Järve spordihoone</v>
      </c>
      <c r="AD3" s="409"/>
      <c r="AF3" s="409"/>
      <c r="AG3" s="409"/>
      <c r="AH3" s="409"/>
      <c r="AI3" s="409"/>
      <c r="AJ3" s="409"/>
      <c r="AK3" s="409"/>
      <c r="AL3" s="409"/>
      <c r="AM3" s="409"/>
      <c r="AN3" s="409"/>
    </row>
    <row r="4" spans="1:42" x14ac:dyDescent="0.2">
      <c r="A4" s="409" t="str">
        <f>"Korraldaja: "&amp;(Kalend!G37)</f>
        <v>Korraldaja: Ivar Viljaste</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551"/>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561" t="s">
        <v>481</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32" ca="1" si="0">SUM(AE7:AL7)</f>
        <v>606</v>
      </c>
      <c r="AE7" s="459">
        <f ca="1">IFERROR(INDEX(Reit!$I:$I,MATCH(AF7,Reit!$F:$F,0)),"")</f>
        <v>272</v>
      </c>
      <c r="AF7" s="460" t="str">
        <f t="shared" ref="AF7:AF32" si="1">IFERROR(LEFT($B7,(FIND(",",$B7,1)-1)),"")</f>
        <v>Ivar Viljaste</v>
      </c>
      <c r="AG7" s="459" t="str">
        <f>IFERROR(INDEX(Reit!$I:$I,MATCH(AH7,Reit!$F:$F,0)),"")</f>
        <v/>
      </c>
      <c r="AH7" s="460" t="str">
        <f t="shared" ref="AH7:AH32" si="2">IFERROR(MID($B7,FIND(", ",$B7)+2,256),"")</f>
        <v>Kristo Viljaste, Tõnu Kapper</v>
      </c>
      <c r="AI7" s="459">
        <f ca="1">IFERROR(INDEX(Reit!$I:$I,MATCH(AJ7,Reit!$F:$F,0)),"")</f>
        <v>202</v>
      </c>
      <c r="AJ7" s="460" t="str">
        <f t="shared" ref="AJ7:AJ32" si="3">IFERROR(MID($B7,FIND("^",SUBSTITUTE($B7,", ","^",1))+2,FIND("^",SUBSTITUTE($B7,", ","^",2))-FIND("^",SUBSTITUTE($B7,", ","^",1))-2),"")</f>
        <v>Kristo Viljaste</v>
      </c>
      <c r="AK7" s="459">
        <f ca="1">IFERROR(INDEX(Reit!$I:$I,MATCH(AL7,Reit!$F:$F,0)),"")</f>
        <v>132</v>
      </c>
      <c r="AL7" s="460" t="str">
        <f t="shared" ref="AL7:AL32" si="4">IFERROR(MID($B7,FIND(", ",$B7,FIND(", ",$B7,FIND(", ",$B7))+1)+2,30000),"")</f>
        <v>Tõnu Kapper</v>
      </c>
      <c r="AM7" s="459" t="str">
        <f>IFERROR(INDEX(Reit!$I:$I,MATCH(AN7,Reit!$F:$F,0)),"")</f>
        <v/>
      </c>
      <c r="AN7" s="460" t="str">
        <f t="shared" ref="AN7:AN32" si="5">IFERROR(MID($B7,FIND(", ",$B7,FIND(", ",$B7)+1)+2,FIND(", ",$B7,FIND(", ",$B7,FIND(", ",$B7)+1)+1)-FIND(", ",$B7,FIND(", ",$B7)+1)-2),"")</f>
        <v/>
      </c>
      <c r="AO7" s="459" t="str">
        <f>IFERROR(INDEX(Reit!$I:$I,MATCH(AP7,Reit!$F:$F,0)),"")</f>
        <v/>
      </c>
      <c r="AP7" s="460" t="str">
        <f t="shared" ref="AP7:AP32" si="6">IFERROR(MID($B7,FIND(", ",$B7,FIND(", ",$B7,FIND(", ",$B7)+1)+1)+2,30000),"")</f>
        <v/>
      </c>
    </row>
    <row r="8" spans="1:42" hidden="1" x14ac:dyDescent="0.2">
      <c r="A8" s="550">
        <v>2</v>
      </c>
      <c r="B8" s="576" t="s">
        <v>433</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ca="1" si="0"/>
        <v>834</v>
      </c>
      <c r="AE8" s="459">
        <f ca="1">IFERROR(INDEX(Reit!$I:$I,MATCH(AF8,Reit!$F:$F,0)),"")</f>
        <v>248</v>
      </c>
      <c r="AF8" s="460" t="str">
        <f t="shared" si="1"/>
        <v>Jaan Sepp</v>
      </c>
      <c r="AG8" s="459" t="str">
        <f>IFERROR(INDEX(Reit!$I:$I,MATCH(AH8,Reit!$F:$F,0)),"")</f>
        <v/>
      </c>
      <c r="AH8" s="460" t="str">
        <f t="shared" si="2"/>
        <v>Matti Vinni, Oskar Sepp</v>
      </c>
      <c r="AI8" s="459">
        <f ca="1">IFERROR(INDEX(Reit!$I:$I,MATCH(AJ8,Reit!$F:$F,0)),"")</f>
        <v>294</v>
      </c>
      <c r="AJ8" s="460" t="str">
        <f t="shared" si="3"/>
        <v>Matti Vinni</v>
      </c>
      <c r="AK8" s="459">
        <f ca="1">IFERROR(INDEX(Reit!$I:$I,MATCH(AL8,Reit!$F:$F,0)),"")</f>
        <v>292</v>
      </c>
      <c r="AL8" s="460" t="str">
        <f t="shared" si="4"/>
        <v>Oskar Sepp</v>
      </c>
      <c r="AM8" s="459" t="str">
        <f>IFERROR(INDEX(Reit!$I:$I,MATCH(AN8,Reit!$F:$F,0)),"")</f>
        <v/>
      </c>
      <c r="AN8" s="460" t="str">
        <f t="shared" si="5"/>
        <v/>
      </c>
      <c r="AO8" s="459" t="str">
        <f>IFERROR(INDEX(Reit!$I:$I,MATCH(AP8,Reit!$F:$F,0)),"")</f>
        <v/>
      </c>
      <c r="AP8" s="460" t="str">
        <f t="shared" si="6"/>
        <v/>
      </c>
    </row>
    <row r="9" spans="1:42" hidden="1" x14ac:dyDescent="0.2">
      <c r="A9" s="550">
        <v>3</v>
      </c>
      <c r="B9" s="576" t="s">
        <v>455</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ca="1" si="0"/>
        <v>518</v>
      </c>
      <c r="AE9" s="459">
        <f ca="1">IFERROR(INDEX(Reit!$I:$I,MATCH(AF9,Reit!$F:$F,0)),"")</f>
        <v>174</v>
      </c>
      <c r="AF9" s="460" t="str">
        <f t="shared" si="1"/>
        <v>Andrei Grintšak</v>
      </c>
      <c r="AG9" s="459" t="str">
        <f>IFERROR(INDEX(Reit!$I:$I,MATCH(AH9,Reit!$F:$F,0)),"")</f>
        <v/>
      </c>
      <c r="AH9" s="460" t="str">
        <f t="shared" si="2"/>
        <v>Boriss Klubov, Elmo Lageda</v>
      </c>
      <c r="AI9" s="459">
        <f ca="1">IFERROR(INDEX(Reit!$I:$I,MATCH(AJ9,Reit!$F:$F,0)),"")</f>
        <v>185</v>
      </c>
      <c r="AJ9" s="460" t="str">
        <f t="shared" si="3"/>
        <v>Boriss Klubov</v>
      </c>
      <c r="AK9" s="459">
        <f ca="1">IFERROR(INDEX(Reit!$I:$I,MATCH(AL9,Reit!$F:$F,0)),"")</f>
        <v>159</v>
      </c>
      <c r="AL9" s="460" t="str">
        <f t="shared" si="4"/>
        <v>Elmo Lageda</v>
      </c>
      <c r="AM9" s="459" t="str">
        <f>IFERROR(INDEX(Reit!$I:$I,MATCH(AN9,Reit!$F:$F,0)),"")</f>
        <v/>
      </c>
      <c r="AN9" s="460" t="str">
        <f t="shared" si="5"/>
        <v/>
      </c>
      <c r="AO9" s="459" t="str">
        <f>IFERROR(INDEX(Reit!$I:$I,MATCH(AP9,Reit!$F:$F,0)),"")</f>
        <v/>
      </c>
      <c r="AP9" s="460" t="str">
        <f t="shared" si="6"/>
        <v/>
      </c>
    </row>
    <row r="10" spans="1:42" hidden="1" x14ac:dyDescent="0.2">
      <c r="A10" s="550">
        <v>4</v>
      </c>
      <c r="B10" s="581"/>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v>
      </c>
      <c r="T10" s="575" t="str">
        <f>Q10&amp;J10</f>
        <v>00</v>
      </c>
      <c r="U10" s="584"/>
      <c r="AD10" s="458">
        <f t="shared" si="0"/>
        <v>0</v>
      </c>
      <c r="AE10" s="459" t="str">
        <f>IFERROR(INDEX(Reit!$I:$I,MATCH(AF10,Reit!$F:$F,0)),"")</f>
        <v/>
      </c>
      <c r="AF10" s="460" t="str">
        <f t="shared" si="1"/>
        <v/>
      </c>
      <c r="AG10" s="459" t="str">
        <f>IFERROR(INDEX(Reit!$I:$I,MATCH(AH10,Reit!$F:$F,0)),"")</f>
        <v/>
      </c>
      <c r="AH10" s="460" t="str">
        <f t="shared" si="2"/>
        <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hidden="1" x14ac:dyDescent="0.2">
      <c r="A11" s="550">
        <v>5</v>
      </c>
      <c r="B11" s="581"/>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58">
        <f t="shared" si="0"/>
        <v>0</v>
      </c>
      <c r="AE11" s="459" t="str">
        <f>IFERROR(INDEX(Reit!$I:$I,MATCH(AF11,Reit!$F:$F,0)),"")</f>
        <v/>
      </c>
      <c r="AF11" s="460" t="str">
        <f t="shared" si="1"/>
        <v/>
      </c>
      <c r="AG11" s="459" t="str">
        <f>IFERROR(INDEX(Reit!$I:$I,MATCH(AH11,Reit!$F:$F,0)),"")</f>
        <v/>
      </c>
      <c r="AH11" s="460" t="str">
        <f t="shared" si="2"/>
        <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hidden="1" x14ac:dyDescent="0.2">
      <c r="A12" s="592"/>
      <c r="B12" s="593"/>
      <c r="C12" s="594"/>
      <c r="D12" s="595"/>
      <c r="E12" s="594"/>
      <c r="F12" s="596"/>
      <c r="G12" s="597"/>
      <c r="H12" s="598"/>
      <c r="I12" s="405"/>
      <c r="J12" s="584"/>
      <c r="K12" s="584"/>
      <c r="L12" s="584"/>
      <c r="M12" s="584"/>
      <c r="N12" s="584"/>
      <c r="O12" s="584"/>
      <c r="P12" s="584"/>
      <c r="Q12" s="584"/>
      <c r="R12" s="588" t="s">
        <v>311</v>
      </c>
      <c r="S12" s="584"/>
      <c r="T12" s="584"/>
      <c r="U12" s="584"/>
      <c r="AD12" s="458">
        <f t="shared" si="0"/>
        <v>0</v>
      </c>
      <c r="AE12" s="459" t="str">
        <f>IFERROR(INDEX(Reit!$I:$I,MATCH(AF12,Reit!$F:$F,0)),"")</f>
        <v/>
      </c>
      <c r="AF12" s="460" t="str">
        <f t="shared" si="1"/>
        <v/>
      </c>
      <c r="AG12" s="459" t="str">
        <f>IFERROR(INDEX(Reit!$I:$I,MATCH(AH12,Reit!$F:$F,0)),"")</f>
        <v/>
      </c>
      <c r="AH12" s="460" t="str">
        <f t="shared" si="2"/>
        <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hidden="1" x14ac:dyDescent="0.2">
      <c r="A13" s="550" t="s">
        <v>201</v>
      </c>
      <c r="B13" s="551"/>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58">
        <f t="shared" si="0"/>
        <v>0</v>
      </c>
      <c r="AE13" s="459" t="str">
        <f>IFERROR(INDEX(Reit!$I:$I,MATCH(AF13,Reit!$F:$F,0)),"")</f>
        <v/>
      </c>
      <c r="AF13" s="460" t="str">
        <f t="shared" si="1"/>
        <v/>
      </c>
      <c r="AG13" s="459" t="str">
        <f>IFERROR(INDEX(Reit!$I:$I,MATCH(AH13,Reit!$F:$F,0)),"")</f>
        <v/>
      </c>
      <c r="AH13" s="460" t="str">
        <f t="shared" si="2"/>
        <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hidden="1" x14ac:dyDescent="0.2">
      <c r="A14" s="550">
        <v>1</v>
      </c>
      <c r="B14" s="534" t="s">
        <v>482</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58">
        <f t="shared" ca="1" si="0"/>
        <v>536</v>
      </c>
      <c r="AE14" s="459">
        <f ca="1">IFERROR(INDEX(Reit!$I:$I,MATCH(AF14,Reit!$F:$F,0)),"")</f>
        <v>232</v>
      </c>
      <c r="AF14" s="460" t="str">
        <f t="shared" si="1"/>
        <v>Aarne Välja</v>
      </c>
      <c r="AG14" s="459" t="str">
        <f>IFERROR(INDEX(Reit!$I:$I,MATCH(AH14,Reit!$F:$F,0)),"")</f>
        <v/>
      </c>
      <c r="AH14" s="460" t="str">
        <f t="shared" si="2"/>
        <v>Oksana Rõndenkova, Oleg Rõndenkov</v>
      </c>
      <c r="AI14" s="459">
        <f ca="1">IFERROR(INDEX(Reit!$I:$I,MATCH(AJ14,Reit!$F:$F,0)),"")</f>
        <v>92</v>
      </c>
      <c r="AJ14" s="460" t="str">
        <f t="shared" si="3"/>
        <v>Oksana Rõndenkova</v>
      </c>
      <c r="AK14" s="459">
        <f ca="1">IFERROR(INDEX(Reit!$I:$I,MATCH(AL14,Reit!$F:$F,0)),"")</f>
        <v>212</v>
      </c>
      <c r="AL14" s="460" t="str">
        <f t="shared" si="4"/>
        <v>Oleg Rõndenkov</v>
      </c>
      <c r="AM14" s="459" t="str">
        <f>IFERROR(INDEX(Reit!$I:$I,MATCH(AN14,Reit!$F:$F,0)),"")</f>
        <v/>
      </c>
      <c r="AN14" s="460" t="str">
        <f t="shared" si="5"/>
        <v/>
      </c>
      <c r="AO14" s="459" t="str">
        <f>IFERROR(INDEX(Reit!$I:$I,MATCH(AP14,Reit!$F:$F,0)),"")</f>
        <v/>
      </c>
      <c r="AP14" s="460" t="str">
        <f t="shared" si="6"/>
        <v/>
      </c>
    </row>
    <row r="15" spans="1:42" hidden="1" x14ac:dyDescent="0.2">
      <c r="A15" s="550">
        <v>2</v>
      </c>
      <c r="B15" s="561" t="s">
        <v>483</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58">
        <f t="shared" ca="1" si="0"/>
        <v>463</v>
      </c>
      <c r="AE15" s="459">
        <f ca="1">IFERROR(INDEX(Reit!$I:$I,MATCH(AF15,Reit!$F:$F,0)),"")</f>
        <v>74</v>
      </c>
      <c r="AF15" s="460" t="str">
        <f t="shared" si="1"/>
        <v>Johannes Neiland</v>
      </c>
      <c r="AG15" s="459" t="str">
        <f>IFERROR(INDEX(Reit!$I:$I,MATCH(AH15,Reit!$F:$F,0)),"")</f>
        <v/>
      </c>
      <c r="AH15" s="460" t="str">
        <f t="shared" si="2"/>
        <v>Kenneth Muusikus, Tõnis Neiland</v>
      </c>
      <c r="AI15" s="459">
        <f ca="1">IFERROR(INDEX(Reit!$I:$I,MATCH(AJ15,Reit!$F:$F,0)),"")</f>
        <v>273</v>
      </c>
      <c r="AJ15" s="460" t="str">
        <f t="shared" si="3"/>
        <v>Kenneth Muusikus</v>
      </c>
      <c r="AK15" s="459">
        <f ca="1">IFERROR(INDEX(Reit!$I:$I,MATCH(AL15,Reit!$F:$F,0)),"")</f>
        <v>116</v>
      </c>
      <c r="AL15" s="460" t="str">
        <f t="shared" si="4"/>
        <v>Tõnis Neiland</v>
      </c>
      <c r="AM15" s="459" t="str">
        <f>IFERROR(INDEX(Reit!$I:$I,MATCH(AN15,Reit!$F:$F,0)),"")</f>
        <v/>
      </c>
      <c r="AN15" s="460" t="str">
        <f t="shared" si="5"/>
        <v/>
      </c>
      <c r="AO15" s="459" t="str">
        <f>IFERROR(INDEX(Reit!$I:$I,MATCH(AP15,Reit!$F:$F,0)),"")</f>
        <v/>
      </c>
      <c r="AP15" s="460" t="str">
        <f t="shared" si="6"/>
        <v/>
      </c>
    </row>
    <row r="16" spans="1:42" hidden="1" x14ac:dyDescent="0.2">
      <c r="A16" s="550">
        <v>3</v>
      </c>
      <c r="B16" s="576" t="s">
        <v>484</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58">
        <f t="shared" ca="1" si="0"/>
        <v>483</v>
      </c>
      <c r="AE16" s="459">
        <f ca="1">IFERROR(INDEX(Reit!$I:$I,MATCH(AF16,Reit!$F:$F,0)),"")</f>
        <v>211</v>
      </c>
      <c r="AF16" s="460" t="str">
        <f t="shared" si="1"/>
        <v>Kaspar Mänd</v>
      </c>
      <c r="AG16" s="459" t="str">
        <f>IFERROR(INDEX(Reit!$I:$I,MATCH(AH16,Reit!$F:$F,0)),"")</f>
        <v/>
      </c>
      <c r="AH16" s="460" t="str">
        <f t="shared" si="2"/>
        <v>Olav Türk, Sander Rose</v>
      </c>
      <c r="AI16" s="459">
        <f ca="1">IFERROR(INDEX(Reit!$I:$I,MATCH(AJ16,Reit!$F:$F,0)),"")</f>
        <v>116</v>
      </c>
      <c r="AJ16" s="460" t="str">
        <f t="shared" si="3"/>
        <v>Olav Türk</v>
      </c>
      <c r="AK16" s="459">
        <f ca="1">IFERROR(INDEX(Reit!$I:$I,MATCH(AL16,Reit!$F:$F,0)),"")</f>
        <v>156</v>
      </c>
      <c r="AL16" s="460" t="str">
        <f t="shared" si="4"/>
        <v>Sander Rose</v>
      </c>
      <c r="AM16" s="459" t="str">
        <f>IFERROR(INDEX(Reit!$I:$I,MATCH(AN16,Reit!$F:$F,0)),"")</f>
        <v/>
      </c>
      <c r="AN16" s="460" t="str">
        <f t="shared" si="5"/>
        <v/>
      </c>
      <c r="AO16" s="459" t="str">
        <f>IFERROR(INDEX(Reit!$I:$I,MATCH(AP16,Reit!$F:$F,0)),"")</f>
        <v/>
      </c>
      <c r="AP16" s="460" t="str">
        <f t="shared" si="6"/>
        <v/>
      </c>
    </row>
    <row r="17" spans="1:42" hidden="1" x14ac:dyDescent="0.2">
      <c r="A17" s="550">
        <v>4</v>
      </c>
      <c r="B17" s="581"/>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U17" s="584"/>
      <c r="AD17" s="458">
        <f t="shared" si="0"/>
        <v>0</v>
      </c>
      <c r="AE17" s="459" t="str">
        <f>IFERROR(INDEX(Reit!$I:$I,MATCH(AF17,Reit!$F:$F,0)),"")</f>
        <v/>
      </c>
      <c r="AF17" s="460" t="str">
        <f t="shared" si="1"/>
        <v/>
      </c>
      <c r="AG17" s="459" t="str">
        <f>IFERROR(INDEX(Reit!$I:$I,MATCH(AH17,Reit!$F:$F,0)),"")</f>
        <v/>
      </c>
      <c r="AH17" s="460" t="str">
        <f t="shared" si="2"/>
        <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hidden="1" x14ac:dyDescent="0.2">
      <c r="A18" s="550">
        <v>5</v>
      </c>
      <c r="B18" s="581"/>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58">
        <f t="shared" si="0"/>
        <v>0</v>
      </c>
      <c r="AE18" s="459" t="str">
        <f>IFERROR(INDEX(Reit!$I:$I,MATCH(AF18,Reit!$F:$F,0)),"")</f>
        <v/>
      </c>
      <c r="AF18" s="460" t="str">
        <f t="shared" si="1"/>
        <v/>
      </c>
      <c r="AG18" s="459" t="str">
        <f>IFERROR(INDEX(Reit!$I:$I,MATCH(AH18,Reit!$F:$F,0)),"")</f>
        <v/>
      </c>
      <c r="AH18" s="460" t="str">
        <f t="shared" si="2"/>
        <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19" s="592"/>
      <c r="B19" s="593"/>
      <c r="C19" s="594"/>
      <c r="D19" s="595"/>
      <c r="E19" s="594"/>
      <c r="F19" s="596"/>
      <c r="G19" s="597"/>
      <c r="H19" s="598"/>
      <c r="I19" s="614"/>
      <c r="J19" s="584"/>
      <c r="K19" s="584"/>
      <c r="L19" s="584"/>
      <c r="M19" s="584"/>
      <c r="N19" s="584"/>
      <c r="O19" s="584"/>
      <c r="P19" s="584"/>
      <c r="Q19" s="584"/>
      <c r="R19" s="588" t="s">
        <v>311</v>
      </c>
      <c r="S19" s="584"/>
      <c r="T19" s="584"/>
      <c r="U19" s="584"/>
      <c r="AD19" s="458">
        <f t="shared" si="0"/>
        <v>0</v>
      </c>
      <c r="AE19" s="459" t="str">
        <f>IFERROR(INDEX(Reit!$I:$I,MATCH(AF19,Reit!$F:$F,0)),"")</f>
        <v/>
      </c>
      <c r="AF19" s="460" t="str">
        <f t="shared" si="1"/>
        <v/>
      </c>
      <c r="AG19" s="459" t="str">
        <f>IFERROR(INDEX(Reit!$I:$I,MATCH(AH19,Reit!$F:$F,0)),"")</f>
        <v/>
      </c>
      <c r="AH19" s="460" t="str">
        <f t="shared" si="2"/>
        <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hidden="1" x14ac:dyDescent="0.2">
      <c r="A20" s="550" t="s">
        <v>202</v>
      </c>
      <c r="B20" s="551"/>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58">
        <f t="shared" si="0"/>
        <v>0</v>
      </c>
      <c r="AE20" s="459" t="str">
        <f>IFERROR(INDEX(Reit!$I:$I,MATCH(AF20,Reit!$F:$F,0)),"")</f>
        <v/>
      </c>
      <c r="AF20" s="460" t="str">
        <f t="shared" si="1"/>
        <v/>
      </c>
      <c r="AG20" s="459" t="str">
        <f>IFERROR(INDEX(Reit!$I:$I,MATCH(AH20,Reit!$F:$F,0)),"")</f>
        <v/>
      </c>
      <c r="AH20" s="460" t="str">
        <f t="shared" si="2"/>
        <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A21" s="550">
        <v>1</v>
      </c>
      <c r="B21" s="561" t="s">
        <v>485</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58">
        <f t="shared" ca="1" si="0"/>
        <v>423</v>
      </c>
      <c r="AE21" s="459">
        <f ca="1">IFERROR(INDEX(Reit!$I:$I,MATCH(AF21,Reit!$F:$F,0)),"")</f>
        <v>20</v>
      </c>
      <c r="AF21" s="460" t="str">
        <f t="shared" si="1"/>
        <v>Aigi Orro</v>
      </c>
      <c r="AG21" s="459" t="str">
        <f>IFERROR(INDEX(Reit!$I:$I,MATCH(AH21,Reit!$F:$F,0)),"")</f>
        <v/>
      </c>
      <c r="AH21" s="460" t="str">
        <f t="shared" si="2"/>
        <v>Andres Veski, Svetlana Veski</v>
      </c>
      <c r="AI21" s="459">
        <f ca="1">IFERROR(INDEX(Reit!$I:$I,MATCH(AJ21,Reit!$F:$F,0)),"")</f>
        <v>197</v>
      </c>
      <c r="AJ21" s="460" t="str">
        <f t="shared" si="3"/>
        <v>Andres Veski</v>
      </c>
      <c r="AK21" s="459">
        <f ca="1">IFERROR(INDEX(Reit!$I:$I,MATCH(AL21,Reit!$F:$F,0)),"")</f>
        <v>206</v>
      </c>
      <c r="AL21" s="460" t="str">
        <f t="shared" si="4"/>
        <v>Svetlana Veski</v>
      </c>
      <c r="AM21" s="459" t="str">
        <f>IFERROR(INDEX(Reit!$I:$I,MATCH(AN21,Reit!$F:$F,0)),"")</f>
        <v/>
      </c>
      <c r="AN21" s="460" t="str">
        <f t="shared" si="5"/>
        <v/>
      </c>
      <c r="AO21" s="459" t="str">
        <f>IFERROR(INDEX(Reit!$I:$I,MATCH(AP21,Reit!$F:$F,0)),"")</f>
        <v/>
      </c>
      <c r="AP21" s="460" t="str">
        <f t="shared" si="6"/>
        <v/>
      </c>
    </row>
    <row r="22" spans="1:42" hidden="1" x14ac:dyDescent="0.2">
      <c r="A22" s="550">
        <v>2</v>
      </c>
      <c r="B22" s="576" t="s">
        <v>486</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58">
        <f t="shared" ca="1" si="0"/>
        <v>151</v>
      </c>
      <c r="AE22" s="459">
        <f ca="1">IFERROR(INDEX(Reit!$I:$I,MATCH(AF22,Reit!$F:$F,0)),"")</f>
        <v>44</v>
      </c>
      <c r="AF22" s="460" t="str">
        <f t="shared" si="1"/>
        <v>Illar Tõnurist</v>
      </c>
      <c r="AG22" s="459" t="str">
        <f>IFERROR(INDEX(Reit!$I:$I,MATCH(AH22,Reit!$F:$F,0)),"")</f>
        <v/>
      </c>
      <c r="AH22" s="460" t="str">
        <f t="shared" si="2"/>
        <v>Jaan Saar, Sirje Maala</v>
      </c>
      <c r="AI22" s="459">
        <f ca="1">IFERROR(INDEX(Reit!$I:$I,MATCH(AJ22,Reit!$F:$F,0)),"")</f>
        <v>88</v>
      </c>
      <c r="AJ22" s="460" t="str">
        <f t="shared" si="3"/>
        <v>Jaan Saar</v>
      </c>
      <c r="AK22" s="459">
        <f ca="1">IFERROR(INDEX(Reit!$I:$I,MATCH(AL22,Reit!$F:$F,0)),"")</f>
        <v>19</v>
      </c>
      <c r="AL22" s="460" t="str">
        <f t="shared" si="4"/>
        <v>Sirje Maala</v>
      </c>
      <c r="AM22" s="459" t="str">
        <f>IFERROR(INDEX(Reit!$I:$I,MATCH(AN22,Reit!$F:$F,0)),"")</f>
        <v/>
      </c>
      <c r="AN22" s="460" t="str">
        <f t="shared" si="5"/>
        <v/>
      </c>
      <c r="AO22" s="459" t="str">
        <f>IFERROR(INDEX(Reit!$I:$I,MATCH(AP22,Reit!$F:$F,0)),"")</f>
        <v/>
      </c>
      <c r="AP22" s="460" t="str">
        <f t="shared" si="6"/>
        <v/>
      </c>
    </row>
    <row r="23" spans="1:42" hidden="1" x14ac:dyDescent="0.2">
      <c r="A23" s="550">
        <v>3</v>
      </c>
      <c r="B23" s="576" t="s">
        <v>487</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58">
        <f t="shared" ca="1" si="0"/>
        <v>239</v>
      </c>
      <c r="AE23" s="459">
        <f ca="1">IFERROR(INDEX(Reit!$I:$I,MATCH(AF23,Reit!$F:$F,0)),"")</f>
        <v>68</v>
      </c>
      <c r="AF23" s="460" t="str">
        <f t="shared" si="1"/>
        <v>Enn Tokman</v>
      </c>
      <c r="AG23" s="459" t="str">
        <f>IFERROR(INDEX(Reit!$I:$I,MATCH(AH23,Reit!$F:$F,0)),"")</f>
        <v/>
      </c>
      <c r="AH23" s="460" t="str">
        <f t="shared" si="2"/>
        <v>Lemmit Toomra, Urmas Randlaine</v>
      </c>
      <c r="AI23" s="459">
        <f ca="1">IFERROR(INDEX(Reit!$I:$I,MATCH(AJ23,Reit!$F:$F,0)),"")</f>
        <v>92</v>
      </c>
      <c r="AJ23" s="460" t="str">
        <f t="shared" si="3"/>
        <v>Lemmit Toomra</v>
      </c>
      <c r="AK23" s="459">
        <f ca="1">IFERROR(INDEX(Reit!$I:$I,MATCH(AL23,Reit!$F:$F,0)),"")</f>
        <v>79</v>
      </c>
      <c r="AL23" s="460" t="str">
        <f t="shared" si="4"/>
        <v>Urmas Randlaine</v>
      </c>
      <c r="AM23" s="459" t="str">
        <f>IFERROR(INDEX(Reit!$I:$I,MATCH(AN23,Reit!$F:$F,0)),"")</f>
        <v/>
      </c>
      <c r="AN23" s="460" t="str">
        <f t="shared" si="5"/>
        <v/>
      </c>
      <c r="AO23" s="459" t="str">
        <f>IFERROR(INDEX(Reit!$I:$I,MATCH(AP23,Reit!$F:$F,0)),"")</f>
        <v/>
      </c>
      <c r="AP23" s="460" t="str">
        <f t="shared" si="6"/>
        <v/>
      </c>
    </row>
    <row r="24" spans="1:42" hidden="1" x14ac:dyDescent="0.2">
      <c r="A24" s="550">
        <v>4</v>
      </c>
      <c r="B24" s="576"/>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c r="AD24" s="458">
        <f t="shared" si="0"/>
        <v>0</v>
      </c>
      <c r="AE24" s="459" t="str">
        <f>IFERROR(INDEX(Reit!$I:$I,MATCH(AF24,Reit!$F:$F,0)),"")</f>
        <v/>
      </c>
      <c r="AF24" s="460" t="str">
        <f t="shared" si="1"/>
        <v/>
      </c>
      <c r="AG24" s="459" t="str">
        <f>IFERROR(INDEX(Reit!$I:$I,MATCH(AH24,Reit!$F:$F,0)),"")</f>
        <v/>
      </c>
      <c r="AH24" s="460" t="str">
        <f t="shared" si="2"/>
        <v/>
      </c>
      <c r="AI24" s="459" t="str">
        <f>IFERROR(INDEX(Reit!$I:$I,MATCH(AJ24,Reit!$F:$F,0)),"")</f>
        <v/>
      </c>
      <c r="AJ24" s="460" t="str">
        <f t="shared" si="3"/>
        <v/>
      </c>
      <c r="AK24" s="459" t="str">
        <f>IFERROR(INDEX(Reit!$I:$I,MATCH(AL24,Reit!$F:$F,0)),"")</f>
        <v/>
      </c>
      <c r="AL24" s="460" t="str">
        <f t="shared" si="4"/>
        <v/>
      </c>
      <c r="AM24" s="459" t="str">
        <f>IFERROR(INDEX(Reit!$I:$I,MATCH(AN24,Reit!$F:$F,0)),"")</f>
        <v/>
      </c>
      <c r="AN24" s="460" t="str">
        <f t="shared" si="5"/>
        <v/>
      </c>
      <c r="AO24" s="459" t="str">
        <f>IFERROR(INDEX(Reit!$I:$I,MATCH(AP24,Reit!$F:$F,0)),"")</f>
        <v/>
      </c>
      <c r="AP24" s="460" t="str">
        <f t="shared" si="6"/>
        <v/>
      </c>
    </row>
    <row r="25" spans="1:42" hidden="1" x14ac:dyDescent="0.2">
      <c r="A25" s="550">
        <v>5</v>
      </c>
      <c r="B25" s="581"/>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c r="AD25" s="458">
        <f t="shared" si="0"/>
        <v>0</v>
      </c>
      <c r="AE25" s="459" t="str">
        <f>IFERROR(INDEX(Reit!$I:$I,MATCH(AF25,Reit!$F:$F,0)),"")</f>
        <v/>
      </c>
      <c r="AF25" s="460" t="str">
        <f t="shared" si="1"/>
        <v/>
      </c>
      <c r="AG25" s="459" t="str">
        <f>IFERROR(INDEX(Reit!$I:$I,MATCH(AH25,Reit!$F:$F,0)),"")</f>
        <v/>
      </c>
      <c r="AH25" s="460" t="str">
        <f t="shared" si="2"/>
        <v/>
      </c>
      <c r="AI25" s="459" t="str">
        <f>IFERROR(INDEX(Reit!$I:$I,MATCH(AJ25,Reit!$F:$F,0)),"")</f>
        <v/>
      </c>
      <c r="AJ25" s="460" t="str">
        <f t="shared" si="3"/>
        <v/>
      </c>
      <c r="AK25" s="459" t="str">
        <f>IFERROR(INDEX(Reit!$I:$I,MATCH(AL25,Reit!$F:$F,0)),"")</f>
        <v/>
      </c>
      <c r="AL25" s="460" t="str">
        <f t="shared" si="4"/>
        <v/>
      </c>
      <c r="AM25" s="459" t="str">
        <f>IFERROR(INDEX(Reit!$I:$I,MATCH(AN25,Reit!$F:$F,0)),"")</f>
        <v/>
      </c>
      <c r="AN25" s="460" t="str">
        <f t="shared" si="5"/>
        <v/>
      </c>
      <c r="AO25" s="459" t="str">
        <f>IFERROR(INDEX(Reit!$I:$I,MATCH(AP25,Reit!$F:$F,0)),"")</f>
        <v/>
      </c>
      <c r="AP25" s="460" t="str">
        <f t="shared" si="6"/>
        <v/>
      </c>
    </row>
    <row r="26" spans="1:42" hidden="1" x14ac:dyDescent="0.2">
      <c r="A26" s="615"/>
      <c r="B26" s="587"/>
      <c r="C26" s="597"/>
      <c r="D26" s="597"/>
      <c r="E26" s="597"/>
      <c r="F26" s="616"/>
      <c r="G26" s="616"/>
      <c r="H26" s="617"/>
      <c r="I26" s="587"/>
      <c r="J26" s="584"/>
      <c r="K26" s="584"/>
      <c r="L26" s="584"/>
      <c r="M26" s="584"/>
      <c r="N26" s="584"/>
      <c r="O26" s="584"/>
      <c r="P26" s="584"/>
      <c r="Q26" s="584"/>
      <c r="R26" s="588" t="s">
        <v>311</v>
      </c>
      <c r="S26" s="584"/>
      <c r="T26" s="584"/>
      <c r="U26" s="584"/>
      <c r="AD26" s="458">
        <f t="shared" si="0"/>
        <v>0</v>
      </c>
      <c r="AE26" s="459" t="str">
        <f>IFERROR(INDEX(Reit!$I:$I,MATCH(AF26,Reit!$F:$F,0)),"")</f>
        <v/>
      </c>
      <c r="AF26" s="460" t="str">
        <f t="shared" si="1"/>
        <v/>
      </c>
      <c r="AG26" s="459" t="str">
        <f>IFERROR(INDEX(Reit!$I:$I,MATCH(AH26,Reit!$F:$F,0)),"")</f>
        <v/>
      </c>
      <c r="AH26" s="460" t="str">
        <f t="shared" si="2"/>
        <v/>
      </c>
      <c r="AI26" s="459" t="str">
        <f>IFERROR(INDEX(Reit!$I:$I,MATCH(AJ26,Reit!$F:$F,0)),"")</f>
        <v/>
      </c>
      <c r="AJ26" s="460" t="str">
        <f t="shared" si="3"/>
        <v/>
      </c>
      <c r="AK26" s="459" t="str">
        <f>IFERROR(INDEX(Reit!$I:$I,MATCH(AL26,Reit!$F:$F,0)),"")</f>
        <v/>
      </c>
      <c r="AL26" s="460" t="str">
        <f t="shared" si="4"/>
        <v/>
      </c>
      <c r="AM26" s="459" t="str">
        <f>IFERROR(INDEX(Reit!$I:$I,MATCH(AN26,Reit!$F:$F,0)),"")</f>
        <v/>
      </c>
      <c r="AN26" s="460" t="str">
        <f t="shared" si="5"/>
        <v/>
      </c>
      <c r="AO26" s="459" t="str">
        <f>IFERROR(INDEX(Reit!$I:$I,MATCH(AP26,Reit!$F:$F,0)),"")</f>
        <v/>
      </c>
      <c r="AP26" s="460" t="str">
        <f t="shared" si="6"/>
        <v/>
      </c>
    </row>
    <row r="27" spans="1:42" hidden="1" x14ac:dyDescent="0.2">
      <c r="A27" s="550" t="s">
        <v>203</v>
      </c>
      <c r="B27" s="551"/>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58">
        <f t="shared" si="0"/>
        <v>0</v>
      </c>
      <c r="AE27" s="459" t="str">
        <f>IFERROR(INDEX(Reit!$I:$I,MATCH(AF27,Reit!$F:$F,0)),"")</f>
        <v/>
      </c>
      <c r="AF27" s="460" t="str">
        <f t="shared" si="1"/>
        <v/>
      </c>
      <c r="AG27" s="459" t="str">
        <f>IFERROR(INDEX(Reit!$I:$I,MATCH(AH27,Reit!$F:$F,0)),"")</f>
        <v/>
      </c>
      <c r="AH27" s="460" t="str">
        <f t="shared" si="2"/>
        <v/>
      </c>
      <c r="AI27" s="459" t="str">
        <f>IFERROR(INDEX(Reit!$I:$I,MATCH(AJ27,Reit!$F:$F,0)),"")</f>
        <v/>
      </c>
      <c r="AJ27" s="460" t="str">
        <f t="shared" si="3"/>
        <v/>
      </c>
      <c r="AK27" s="459" t="str">
        <f>IFERROR(INDEX(Reit!$I:$I,MATCH(AL27,Reit!$F:$F,0)),"")</f>
        <v/>
      </c>
      <c r="AL27" s="460" t="str">
        <f t="shared" si="4"/>
        <v/>
      </c>
      <c r="AM27" s="459" t="str">
        <f>IFERROR(INDEX(Reit!$I:$I,MATCH(AN27,Reit!$F:$F,0)),"")</f>
        <v/>
      </c>
      <c r="AN27" s="460" t="str">
        <f t="shared" si="5"/>
        <v/>
      </c>
      <c r="AO27" s="459" t="str">
        <f>IFERROR(INDEX(Reit!$I:$I,MATCH(AP27,Reit!$F:$F,0)),"")</f>
        <v/>
      </c>
      <c r="AP27" s="460" t="str">
        <f t="shared" si="6"/>
        <v/>
      </c>
    </row>
    <row r="28" spans="1:42" hidden="1" x14ac:dyDescent="0.2">
      <c r="A28" s="550">
        <v>1</v>
      </c>
      <c r="B28" s="618"/>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v>
      </c>
      <c r="T28" s="575" t="str">
        <f>Q28&amp;J28</f>
        <v>00</v>
      </c>
      <c r="U28" s="584"/>
      <c r="AD28" s="458">
        <f t="shared" si="0"/>
        <v>0</v>
      </c>
      <c r="AE28" s="459" t="str">
        <f>IFERROR(INDEX(Reit!$I:$I,MATCH(AF28,Reit!$F:$F,0)),"")</f>
        <v/>
      </c>
      <c r="AF28" s="460" t="str">
        <f t="shared" si="1"/>
        <v/>
      </c>
      <c r="AG28" s="459" t="str">
        <f>IFERROR(INDEX(Reit!$I:$I,MATCH(AH28,Reit!$F:$F,0)),"")</f>
        <v/>
      </c>
      <c r="AH28" s="460" t="str">
        <f t="shared" si="2"/>
        <v/>
      </c>
      <c r="AI28" s="459" t="str">
        <f>IFERROR(INDEX(Reit!$I:$I,MATCH(AJ28,Reit!$F:$F,0)),"")</f>
        <v/>
      </c>
      <c r="AJ28" s="460" t="str">
        <f t="shared" si="3"/>
        <v/>
      </c>
      <c r="AK28" s="459" t="str">
        <f>IFERROR(INDEX(Reit!$I:$I,MATCH(AL28,Reit!$F:$F,0)),"")</f>
        <v/>
      </c>
      <c r="AL28" s="460" t="str">
        <f t="shared" si="4"/>
        <v/>
      </c>
      <c r="AM28" s="459" t="str">
        <f>IFERROR(INDEX(Reit!$I:$I,MATCH(AN28,Reit!$F:$F,0)),"")</f>
        <v/>
      </c>
      <c r="AN28" s="460" t="str">
        <f t="shared" si="5"/>
        <v/>
      </c>
      <c r="AO28" s="459" t="str">
        <f>IFERROR(INDEX(Reit!$I:$I,MATCH(AP28,Reit!$F:$F,0)),"")</f>
        <v/>
      </c>
      <c r="AP28" s="460" t="str">
        <f t="shared" si="6"/>
        <v/>
      </c>
    </row>
    <row r="29" spans="1:42" hidden="1" x14ac:dyDescent="0.2">
      <c r="A29" s="550">
        <v>2</v>
      </c>
      <c r="B29" s="576"/>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v>
      </c>
      <c r="T29" s="575" t="str">
        <f>Q29&amp;J29</f>
        <v>00</v>
      </c>
      <c r="U29" s="584"/>
      <c r="AD29" s="458">
        <f t="shared" si="0"/>
        <v>0</v>
      </c>
      <c r="AE29" s="459" t="str">
        <f>IFERROR(INDEX(Reit!$I:$I,MATCH(AF29,Reit!$F:$F,0)),"")</f>
        <v/>
      </c>
      <c r="AF29" s="460" t="str">
        <f t="shared" si="1"/>
        <v/>
      </c>
      <c r="AG29" s="459" t="str">
        <f>IFERROR(INDEX(Reit!$I:$I,MATCH(AH29,Reit!$F:$F,0)),"")</f>
        <v/>
      </c>
      <c r="AH29" s="460" t="str">
        <f t="shared" si="2"/>
        <v/>
      </c>
      <c r="AI29" s="459" t="str">
        <f>IFERROR(INDEX(Reit!$I:$I,MATCH(AJ29,Reit!$F:$F,0)),"")</f>
        <v/>
      </c>
      <c r="AJ29" s="460" t="str">
        <f t="shared" si="3"/>
        <v/>
      </c>
      <c r="AK29" s="459" t="str">
        <f>IFERROR(INDEX(Reit!$I:$I,MATCH(AL29,Reit!$F:$F,0)),"")</f>
        <v/>
      </c>
      <c r="AL29" s="460" t="str">
        <f t="shared" si="4"/>
        <v/>
      </c>
      <c r="AM29" s="459" t="str">
        <f>IFERROR(INDEX(Reit!$I:$I,MATCH(AN29,Reit!$F:$F,0)),"")</f>
        <v/>
      </c>
      <c r="AN29" s="460" t="str">
        <f t="shared" si="5"/>
        <v/>
      </c>
      <c r="AO29" s="459" t="str">
        <f>IFERROR(INDEX(Reit!$I:$I,MATCH(AP29,Reit!$F:$F,0)),"")</f>
        <v/>
      </c>
      <c r="AP29" s="460" t="str">
        <f t="shared" si="6"/>
        <v/>
      </c>
    </row>
    <row r="30" spans="1:42" hidden="1" x14ac:dyDescent="0.2">
      <c r="A30" s="550">
        <v>3</v>
      </c>
      <c r="B30" s="576"/>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v>
      </c>
      <c r="T30" s="575" t="str">
        <f>Q30&amp;J30</f>
        <v>00</v>
      </c>
      <c r="U30" s="584"/>
      <c r="AD30" s="458">
        <f t="shared" si="0"/>
        <v>0</v>
      </c>
      <c r="AE30" s="459" t="str">
        <f>IFERROR(INDEX(Reit!$I:$I,MATCH(AF30,Reit!$F:$F,0)),"")</f>
        <v/>
      </c>
      <c r="AF30" s="460" t="str">
        <f t="shared" si="1"/>
        <v/>
      </c>
      <c r="AG30" s="459" t="str">
        <f>IFERROR(INDEX(Reit!$I:$I,MATCH(AH30,Reit!$F:$F,0)),"")</f>
        <v/>
      </c>
      <c r="AH30" s="460" t="str">
        <f t="shared" si="2"/>
        <v/>
      </c>
      <c r="AI30" s="459" t="str">
        <f>IFERROR(INDEX(Reit!$I:$I,MATCH(AJ30,Reit!$F:$F,0)),"")</f>
        <v/>
      </c>
      <c r="AJ30" s="460" t="str">
        <f t="shared" si="3"/>
        <v/>
      </c>
      <c r="AK30" s="459" t="str">
        <f>IFERROR(INDEX(Reit!$I:$I,MATCH(AL30,Reit!$F:$F,0)),"")</f>
        <v/>
      </c>
      <c r="AL30" s="460" t="str">
        <f t="shared" si="4"/>
        <v/>
      </c>
      <c r="AM30" s="459" t="str">
        <f>IFERROR(INDEX(Reit!$I:$I,MATCH(AN30,Reit!$F:$F,0)),"")</f>
        <v/>
      </c>
      <c r="AN30" s="460" t="str">
        <f t="shared" si="5"/>
        <v/>
      </c>
      <c r="AO30" s="459" t="str">
        <f>IFERROR(INDEX(Reit!$I:$I,MATCH(AP30,Reit!$F:$F,0)),"")</f>
        <v/>
      </c>
      <c r="AP30" s="460" t="str">
        <f t="shared" si="6"/>
        <v/>
      </c>
    </row>
    <row r="31" spans="1:42" hidden="1" x14ac:dyDescent="0.2">
      <c r="A31" s="550">
        <v>4</v>
      </c>
      <c r="B31" s="581"/>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c r="AD31" s="458">
        <f t="shared" si="0"/>
        <v>0</v>
      </c>
      <c r="AE31" s="459" t="str">
        <f>IFERROR(INDEX(Reit!$I:$I,MATCH(AF31,Reit!$F:$F,0)),"")</f>
        <v/>
      </c>
      <c r="AF31" s="460" t="str">
        <f t="shared" si="1"/>
        <v/>
      </c>
      <c r="AG31" s="459" t="str">
        <f>IFERROR(INDEX(Reit!$I:$I,MATCH(AH31,Reit!$F:$F,0)),"")</f>
        <v/>
      </c>
      <c r="AH31" s="460" t="str">
        <f t="shared" si="2"/>
        <v/>
      </c>
      <c r="AI31" s="459" t="str">
        <f>IFERROR(INDEX(Reit!$I:$I,MATCH(AJ31,Reit!$F:$F,0)),"")</f>
        <v/>
      </c>
      <c r="AJ31" s="460" t="str">
        <f t="shared" si="3"/>
        <v/>
      </c>
      <c r="AK31" s="459" t="str">
        <f>IFERROR(INDEX(Reit!$I:$I,MATCH(AL31,Reit!$F:$F,0)),"")</f>
        <v/>
      </c>
      <c r="AL31" s="460" t="str">
        <f t="shared" si="4"/>
        <v/>
      </c>
      <c r="AM31" s="459" t="str">
        <f>IFERROR(INDEX(Reit!$I:$I,MATCH(AN31,Reit!$F:$F,0)),"")</f>
        <v/>
      </c>
      <c r="AN31" s="460" t="str">
        <f t="shared" si="5"/>
        <v/>
      </c>
      <c r="AO31" s="459" t="str">
        <f>IFERROR(INDEX(Reit!$I:$I,MATCH(AP31,Reit!$F:$F,0)),"")</f>
        <v/>
      </c>
      <c r="AP31" s="460" t="str">
        <f t="shared" si="6"/>
        <v/>
      </c>
    </row>
    <row r="32" spans="1:42" hidden="1" x14ac:dyDescent="0.2">
      <c r="A32" s="550">
        <v>5</v>
      </c>
      <c r="B32" s="581"/>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c r="AD32" s="458">
        <f t="shared" si="0"/>
        <v>0</v>
      </c>
      <c r="AE32" s="459" t="str">
        <f>IFERROR(INDEX(Reit!$I:$I,MATCH(AF32,Reit!$F:$F,0)),"")</f>
        <v/>
      </c>
      <c r="AF32" s="460" t="str">
        <f t="shared" si="1"/>
        <v/>
      </c>
      <c r="AG32" s="459" t="str">
        <f>IFERROR(INDEX(Reit!$I:$I,MATCH(AH32,Reit!$F:$F,0)),"")</f>
        <v/>
      </c>
      <c r="AH32" s="460" t="str">
        <f t="shared" si="2"/>
        <v/>
      </c>
      <c r="AI32" s="459" t="str">
        <f>IFERROR(INDEX(Reit!$I:$I,MATCH(AJ32,Reit!$F:$F,0)),"")</f>
        <v/>
      </c>
      <c r="AJ32" s="460" t="str">
        <f t="shared" si="3"/>
        <v/>
      </c>
      <c r="AK32" s="459" t="str">
        <f>IFERROR(INDEX(Reit!$I:$I,MATCH(AL32,Reit!$F:$F,0)),"")</f>
        <v/>
      </c>
      <c r="AL32" s="460" t="str">
        <f t="shared" si="4"/>
        <v/>
      </c>
      <c r="AM32" s="459" t="str">
        <f>IFERROR(INDEX(Reit!$I:$I,MATCH(AN32,Reit!$F:$F,0)),"")</f>
        <v/>
      </c>
      <c r="AN32" s="460" t="str">
        <f t="shared" si="5"/>
        <v/>
      </c>
      <c r="AO32" s="459" t="str">
        <f>IFERROR(INDEX(Reit!$I:$I,MATCH(AP32,Reit!$F:$F,0)),"")</f>
        <v/>
      </c>
      <c r="AP32" s="460" t="str">
        <f t="shared" si="6"/>
        <v/>
      </c>
    </row>
    <row r="33" spans="1:21" hidden="1" x14ac:dyDescent="0.2">
      <c r="A33" s="592"/>
      <c r="B33" s="597"/>
      <c r="C33" s="597"/>
      <c r="D33" s="597"/>
      <c r="E33" s="597"/>
      <c r="F33" s="594"/>
      <c r="G33" s="597"/>
      <c r="H33" s="619"/>
      <c r="I33" s="620"/>
      <c r="J33" s="584"/>
      <c r="K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481</v>
      </c>
      <c r="C300" s="981">
        <v>40</v>
      </c>
    </row>
    <row r="301" spans="1:3" x14ac:dyDescent="0.2">
      <c r="A301" s="449">
        <v>2</v>
      </c>
      <c r="B301" s="450" t="s">
        <v>433</v>
      </c>
      <c r="C301" s="981">
        <v>34</v>
      </c>
    </row>
    <row r="302" spans="1:3" x14ac:dyDescent="0.2">
      <c r="A302" s="449">
        <v>3</v>
      </c>
      <c r="B302" s="450" t="s">
        <v>455</v>
      </c>
      <c r="C302" s="981">
        <v>30</v>
      </c>
    </row>
    <row r="303" spans="1:3" x14ac:dyDescent="0.2">
      <c r="A303" s="449">
        <v>4</v>
      </c>
      <c r="B303" s="450" t="s">
        <v>482</v>
      </c>
      <c r="C303" s="981">
        <v>26</v>
      </c>
    </row>
    <row r="304" spans="1:3" x14ac:dyDescent="0.2">
      <c r="A304" s="449">
        <v>5</v>
      </c>
      <c r="B304" s="450" t="s">
        <v>483</v>
      </c>
      <c r="C304" s="981">
        <v>24</v>
      </c>
    </row>
    <row r="305" spans="1:3" x14ac:dyDescent="0.2">
      <c r="A305" s="449">
        <v>6</v>
      </c>
      <c r="B305" s="450" t="s">
        <v>484</v>
      </c>
      <c r="C305" s="981">
        <v>22</v>
      </c>
    </row>
    <row r="306" spans="1:3" x14ac:dyDescent="0.2">
      <c r="A306" s="449">
        <v>7</v>
      </c>
      <c r="B306" s="450" t="s">
        <v>485</v>
      </c>
      <c r="C306" s="981">
        <v>20</v>
      </c>
    </row>
    <row r="307" spans="1:3" x14ac:dyDescent="0.2">
      <c r="A307" s="449">
        <v>8</v>
      </c>
      <c r="B307" s="450" t="s">
        <v>486</v>
      </c>
      <c r="C307" s="981">
        <v>18</v>
      </c>
    </row>
    <row r="308" spans="1:3" x14ac:dyDescent="0.2">
      <c r="A308" s="449">
        <v>9</v>
      </c>
      <c r="B308" s="450" t="s">
        <v>487</v>
      </c>
      <c r="C308" s="981">
        <v>16</v>
      </c>
    </row>
  </sheetData>
  <conditionalFormatting sqref="D7 C8">
    <cfRule type="aboveAverage" dxfId="1841" priority="229"/>
  </conditionalFormatting>
  <conditionalFormatting sqref="E7 C9">
    <cfRule type="aboveAverage" dxfId="1840" priority="228"/>
  </conditionalFormatting>
  <conditionalFormatting sqref="F7 C10">
    <cfRule type="aboveAverage" dxfId="1839" priority="227"/>
  </conditionalFormatting>
  <conditionalFormatting sqref="E8 D9">
    <cfRule type="aboveAverage" dxfId="1838" priority="226"/>
  </conditionalFormatting>
  <conditionalFormatting sqref="G7 C11">
    <cfRule type="aboveAverage" dxfId="1837" priority="225"/>
  </conditionalFormatting>
  <conditionalFormatting sqref="F8 D10">
    <cfRule type="aboveAverage" dxfId="1836" priority="224"/>
  </conditionalFormatting>
  <conditionalFormatting sqref="G8 D11">
    <cfRule type="aboveAverage" dxfId="1835" priority="223"/>
  </conditionalFormatting>
  <conditionalFormatting sqref="F9 E10">
    <cfRule type="aboveAverage" dxfId="1834" priority="222"/>
  </conditionalFormatting>
  <conditionalFormatting sqref="G9 E11">
    <cfRule type="aboveAverage" dxfId="1833" priority="221"/>
  </conditionalFormatting>
  <conditionalFormatting sqref="F11 G10">
    <cfRule type="aboveAverage" dxfId="1832" priority="220"/>
  </conditionalFormatting>
  <conditionalFormatting sqref="D14 C15">
    <cfRule type="aboveAverage" dxfId="1831" priority="219"/>
  </conditionalFormatting>
  <conditionalFormatting sqref="E14 C16">
    <cfRule type="aboveAverage" dxfId="1830" priority="218"/>
  </conditionalFormatting>
  <conditionalFormatting sqref="F14 C17">
    <cfRule type="aboveAverage" dxfId="1829" priority="217"/>
  </conditionalFormatting>
  <conditionalFormatting sqref="E15 D16">
    <cfRule type="aboveAverage" dxfId="1828" priority="216"/>
  </conditionalFormatting>
  <conditionalFormatting sqref="G14 C18">
    <cfRule type="aboveAverage" dxfId="1827" priority="215"/>
  </conditionalFormatting>
  <conditionalFormatting sqref="F15 D17">
    <cfRule type="aboveAverage" dxfId="1826" priority="214"/>
  </conditionalFormatting>
  <conditionalFormatting sqref="G15 D18">
    <cfRule type="aboveAverage" dxfId="1825" priority="213"/>
  </conditionalFormatting>
  <conditionalFormatting sqref="F16 E17">
    <cfRule type="aboveAverage" dxfId="1824" priority="212"/>
  </conditionalFormatting>
  <conditionalFormatting sqref="G16 E18">
    <cfRule type="aboveAverage" dxfId="1823" priority="211"/>
  </conditionalFormatting>
  <conditionalFormatting sqref="F18 G17">
    <cfRule type="aboveAverage" dxfId="1822" priority="210"/>
  </conditionalFormatting>
  <conditionalFormatting sqref="D21 C22">
    <cfRule type="aboveAverage" dxfId="1821" priority="209"/>
  </conditionalFormatting>
  <conditionalFormatting sqref="E21 C23">
    <cfRule type="aboveAverage" dxfId="1820" priority="208"/>
  </conditionalFormatting>
  <conditionalFormatting sqref="F21 C24">
    <cfRule type="aboveAverage" dxfId="1819" priority="207"/>
  </conditionalFormatting>
  <conditionalFormatting sqref="E22 D23">
    <cfRule type="aboveAverage" dxfId="1818" priority="206"/>
  </conditionalFormatting>
  <conditionalFormatting sqref="G21 C25">
    <cfRule type="aboveAverage" dxfId="1817" priority="205"/>
  </conditionalFormatting>
  <conditionalFormatting sqref="F22 D24">
    <cfRule type="aboveAverage" dxfId="1816" priority="204"/>
  </conditionalFormatting>
  <conditionalFormatting sqref="G22 D25">
    <cfRule type="aboveAverage" dxfId="1815" priority="203"/>
  </conditionalFormatting>
  <conditionalFormatting sqref="F23 E24">
    <cfRule type="aboveAverage" dxfId="1814" priority="202"/>
  </conditionalFormatting>
  <conditionalFormatting sqref="G23 E25">
    <cfRule type="aboveAverage" dxfId="1813" priority="201"/>
  </conditionalFormatting>
  <conditionalFormatting sqref="F25 G24">
    <cfRule type="aboveAverage" dxfId="1812" priority="200"/>
  </conditionalFormatting>
  <conditionalFormatting sqref="D28 C29">
    <cfRule type="aboveAverage" dxfId="1811" priority="199"/>
  </conditionalFormatting>
  <conditionalFormatting sqref="E28 C30">
    <cfRule type="aboveAverage" dxfId="1810" priority="198"/>
  </conditionalFormatting>
  <conditionalFormatting sqref="F28 C31">
    <cfRule type="aboveAverage" dxfId="1809" priority="197"/>
  </conditionalFormatting>
  <conditionalFormatting sqref="E29 D30">
    <cfRule type="aboveAverage" dxfId="1808" priority="196"/>
  </conditionalFormatting>
  <conditionalFormatting sqref="G28 C32">
    <cfRule type="aboveAverage" dxfId="1807" priority="195"/>
  </conditionalFormatting>
  <conditionalFormatting sqref="F29 D31">
    <cfRule type="aboveAverage" dxfId="1806" priority="194"/>
  </conditionalFormatting>
  <conditionalFormatting sqref="G29 D32">
    <cfRule type="aboveAverage" dxfId="1805" priority="193"/>
  </conditionalFormatting>
  <conditionalFormatting sqref="F30 E31">
    <cfRule type="aboveAverage" dxfId="1804" priority="192"/>
  </conditionalFormatting>
  <conditionalFormatting sqref="G30 E32">
    <cfRule type="aboveAverage" dxfId="1803" priority="191"/>
  </conditionalFormatting>
  <conditionalFormatting sqref="F32 G31">
    <cfRule type="aboveAverage" dxfId="1802" priority="190"/>
  </conditionalFormatting>
  <conditionalFormatting sqref="I28:I32">
    <cfRule type="expression" dxfId="1801" priority="184">
      <formula>FIND(2,I28,1)</formula>
    </cfRule>
    <cfRule type="expression" dxfId="1800" priority="185">
      <formula>FIND(1,I28,1)</formula>
    </cfRule>
  </conditionalFormatting>
  <conditionalFormatting sqref="I21:I25">
    <cfRule type="expression" dxfId="1799" priority="186">
      <formula>FIND(2,I21,1)</formula>
    </cfRule>
    <cfRule type="expression" dxfId="1798" priority="187">
      <formula>FIND(1,I21,1)</formula>
    </cfRule>
  </conditionalFormatting>
  <conditionalFormatting sqref="I7:I11">
    <cfRule type="expression" dxfId="1797" priority="188">
      <formula>FIND(2,I7,1)</formula>
    </cfRule>
    <cfRule type="expression" dxfId="1796" priority="189">
      <formula>FIND(1,I7,1)</formula>
    </cfRule>
  </conditionalFormatting>
  <conditionalFormatting sqref="H14:H18">
    <cfRule type="expression" dxfId="1795" priority="128">
      <formula>AND(Q14=4,IF(COUNTIF(Q$14:Q$18,"=4")&gt;=2,TRUE))</formula>
    </cfRule>
    <cfRule type="expression" dxfId="1794" priority="230">
      <formula>AND(Q14=3,IF(COUNTIF(Q$14:Q$18,"=3")&gt;=2,TRUE))</formula>
    </cfRule>
    <cfRule type="expression" dxfId="1793" priority="231">
      <formula>AND(Q14=2,IF(COUNTIF(Q$14:Q$18,"=2")&gt;=2,TRUE))</formula>
    </cfRule>
    <cfRule type="expression" dxfId="1792" priority="232">
      <formula>AND(Q14=1,IF(COUNTIF(Q$14:Q$18,"=1")&gt;=2,TRUE))</formula>
    </cfRule>
  </conditionalFormatting>
  <conditionalFormatting sqref="B7:B33">
    <cfRule type="duplicateValues" dxfId="1791" priority="183"/>
  </conditionalFormatting>
  <conditionalFormatting sqref="L7:L11">
    <cfRule type="expression" dxfId="1790" priority="166">
      <formula>K7=0</formula>
    </cfRule>
    <cfRule type="expression" dxfId="1789" priority="175">
      <formula>IF(COUNTIF(J$7:J$11,"=2")=2,TRUE)</formula>
    </cfRule>
    <cfRule type="expression" dxfId="1788" priority="176">
      <formula>IF(COUNTIF(J$7:J$11,"=1")=2,TRUE)</formula>
    </cfRule>
    <cfRule type="expression" dxfId="1787" priority="177">
      <formula>AND(IF(COUNTIF(Q$7:Q$11,"=1")=2,TRUE),IF(COUNTIF(Q$7:Q$11,"=2")=2,TRUE))</formula>
    </cfRule>
    <cfRule type="expression" dxfId="1786" priority="178">
      <formula>AND(Q7=4,IF(COUNTIF(Q$7:Q$11,"=4")=1,TRUE))</formula>
    </cfRule>
    <cfRule type="expression" dxfId="1785" priority="179">
      <formula>AND(Q7=3,IF(COUNTIF(Q$7:Q$11,"=3")=1,TRUE))</formula>
    </cfRule>
    <cfRule type="expression" dxfId="1784" priority="180">
      <formula>AND(Q7=2,IF(COUNTIF(Q$7:Q$11,"=2")=1,TRUE))</formula>
    </cfRule>
    <cfRule type="expression" dxfId="1783" priority="181">
      <formula>AND(Q7=1,IF(COUNTIF(Q$7:Q$11,"=1")=1,TRUE))</formula>
    </cfRule>
    <cfRule type="expression" dxfId="1782" priority="182">
      <formula>OR(Q7=0,Q7=5)</formula>
    </cfRule>
  </conditionalFormatting>
  <conditionalFormatting sqref="O7:O11">
    <cfRule type="expression" dxfId="1781" priority="174">
      <formula>OR(AND(J7=1,K7=1,L7=0,M7=1),AND(J7=2,K7=2,L7=0,M7=2))</formula>
    </cfRule>
  </conditionalFormatting>
  <conditionalFormatting sqref="M7:M11">
    <cfRule type="expression" dxfId="1780" priority="167">
      <formula>AND(L7&gt;0,IF(COUNTIF(L$7:L$11,L7)&gt;1,TRUE,FALSE))</formula>
    </cfRule>
    <cfRule type="expression" dxfId="1779" priority="168">
      <formula>AND(IF(COUNTIF(R$7:R$11,"=1")=2,TRUE),IF(COUNTIF(R$7:R$11,"=2")=2,TRUE))</formula>
    </cfRule>
    <cfRule type="expression" dxfId="1778" priority="169">
      <formula>AND(R7=4,IF(COUNTIF(R$7:R$11,"=4")=1,TRUE))</formula>
    </cfRule>
    <cfRule type="expression" dxfId="1777" priority="170">
      <formula>AND(R7=3,IF(COUNTIF(R$7:R$11,"=3")=1,TRUE))</formula>
    </cfRule>
    <cfRule type="expression" dxfId="1776" priority="171">
      <formula>AND(R7=2,IF(COUNTIF(R$7:R$11,"=2")=1,TRUE))</formula>
    </cfRule>
    <cfRule type="expression" dxfId="1775" priority="172">
      <formula>AND(R7=1,IF(COUNTIF(R$7:R$11,"=1")=1,TRUE))</formula>
    </cfRule>
    <cfRule type="expression" dxfId="1774" priority="173">
      <formula>OR(R7=0,R7=5)</formula>
    </cfRule>
  </conditionalFormatting>
  <conditionalFormatting sqref="J7:J11">
    <cfRule type="expression" dxfId="1773" priority="162">
      <formula>AND(Q7=4,IF(COUNTIF(Q$7:Q$11,"=4")&gt;=2,TRUE))</formula>
    </cfRule>
    <cfRule type="expression" dxfId="1772" priority="163">
      <formula>AND(Q7=3,IF(COUNTIF(Q$7:Q$11,"=3")&gt;=2,TRUE))</formula>
    </cfRule>
    <cfRule type="expression" dxfId="1771" priority="164">
      <formula>AND(Q7=2,IF(COUNTIF(Q$7:Q$11,"=2")&gt;=2,TRUE))</formula>
    </cfRule>
    <cfRule type="expression" dxfId="1770" priority="165">
      <formula>AND(Q7=1,IF(COUNTIF(Q$7:Q$11,"=1")&gt;=2,TRUE))</formula>
    </cfRule>
  </conditionalFormatting>
  <conditionalFormatting sqref="H7:H11">
    <cfRule type="expression" dxfId="1769" priority="129">
      <formula>AND(Q7=4,IF(COUNTIF(Q$7:Q$11,"=4")&gt;=2,TRUE))</formula>
    </cfRule>
    <cfRule type="expression" dxfId="1768" priority="233">
      <formula>AND(Q7=3,IF(COUNTIF(Q$7:Q$11,"=3")&gt;=2,TRUE))</formula>
    </cfRule>
    <cfRule type="expression" dxfId="1767" priority="234">
      <formula>AND(Q7=2,IF(COUNTIF(Q$7:Q$11,"=2")&gt;=2,TRUE))</formula>
    </cfRule>
    <cfRule type="expression" dxfId="1766" priority="235">
      <formula>AND(Q7=1,IF(COUNTIF(Q$7:Q$11,"=1")&gt;=2,TRUE))</formula>
    </cfRule>
  </conditionalFormatting>
  <conditionalFormatting sqref="K7:K11">
    <cfRule type="expression" dxfId="1765" priority="236">
      <formula>AND(J7&gt;0,IF(COUNTIF(J$7:J$11,"=1")=2,TRUE),IF(COUNTIF(J$7:J$11,"=2")=2,TRUE))</formula>
    </cfRule>
    <cfRule type="expression" dxfId="1764" priority="237">
      <formula>IF(COUNTIF(L$7:L$11,"=2")=2,TRUE)</formula>
    </cfRule>
    <cfRule type="expression" dxfId="1763" priority="238">
      <formula>IF(COUNTIF(L$7:L$11,"=1")=2,TRUE)</formula>
    </cfRule>
    <cfRule type="expression" dxfId="1762" priority="239">
      <formula>AND(IF(COUNTIF(R$7:R$11,"=1")=2,TRUE),IF(COUNTIF(S$7:S$11,"=2")=2,TRUE))</formula>
    </cfRule>
    <cfRule type="expression" dxfId="1761" priority="240">
      <formula>AND(R7=4,IF(COUNTIF(R$7:R$11,"=4")=1,TRUE))</formula>
    </cfRule>
    <cfRule type="expression" dxfId="1760" priority="241">
      <formula>AND(R7=3,IF(COUNTIF(R$7:R$11,"=3")=1,TRUE))</formula>
    </cfRule>
    <cfRule type="expression" dxfId="1759" priority="242">
      <formula>AND(R7=2,IF(COUNTIF(R$7:R$11,"=2")=1,TRUE))</formula>
    </cfRule>
    <cfRule type="expression" dxfId="1758" priority="243">
      <formula>AND(R7=1,IF(COUNTIF(R$7:R$11,"=1")=1,TRUE))</formula>
    </cfRule>
    <cfRule type="expression" dxfId="1757" priority="244">
      <formula>OR(R7=0,R7=5)</formula>
    </cfRule>
  </conditionalFormatting>
  <conditionalFormatting sqref="I14:I18">
    <cfRule type="expression" dxfId="1756" priority="151">
      <formula>FIND(2,I14,1)</formula>
    </cfRule>
    <cfRule type="expression" dxfId="1755" priority="152">
      <formula>FIND(1,I14,1)</formula>
    </cfRule>
  </conditionalFormatting>
  <conditionalFormatting sqref="L14:L18">
    <cfRule type="expression" dxfId="1754" priority="134">
      <formula>K14=0</formula>
    </cfRule>
    <cfRule type="expression" dxfId="1753" priority="143">
      <formula>IF(COUNTIF(J$14:J$18,"=2")=2,TRUE)</formula>
    </cfRule>
    <cfRule type="expression" dxfId="1752" priority="144">
      <formula>IF(COUNTIF(J$14:J$18,"=1")=2,TRUE)</formula>
    </cfRule>
    <cfRule type="expression" dxfId="1751" priority="145">
      <formula>AND(IF(COUNTIF(Q$14:Q$18,"=1")=2,TRUE),IF(COUNTIF(Q$14:Q$18,"=2")=2,TRUE))</formula>
    </cfRule>
    <cfRule type="expression" dxfId="1750" priority="146">
      <formula>AND(Q14=4,IF(COUNTIF(Q$14:Q$18,"=4")=1,TRUE))</formula>
    </cfRule>
    <cfRule type="expression" dxfId="1749" priority="147">
      <formula>AND(Q14=3,IF(COUNTIF(Q$14:Q$18,"=3")=1,TRUE))</formula>
    </cfRule>
    <cfRule type="expression" dxfId="1748" priority="148">
      <formula>AND(Q14=2,IF(COUNTIF(Q$14:Q$18,"=2")=1,TRUE))</formula>
    </cfRule>
    <cfRule type="expression" dxfId="1747" priority="149">
      <formula>AND(Q14=1,IF(COUNTIF(Q$14:Q$18,"=1")=1,TRUE))</formula>
    </cfRule>
    <cfRule type="expression" dxfId="1746" priority="150">
      <formula>OR(Q14=0,Q14=5)</formula>
    </cfRule>
  </conditionalFormatting>
  <conditionalFormatting sqref="O14:O18">
    <cfRule type="expression" dxfId="1745" priority="142">
      <formula>OR(AND(J14=1,K14=1,L14=0,M14=1),AND(J14=2,K14=2,L14=0,M14=2))</formula>
    </cfRule>
  </conditionalFormatting>
  <conditionalFormatting sqref="M14:M18">
    <cfRule type="expression" dxfId="1744" priority="135">
      <formula>AND(L14&gt;0,IF(COUNTIF(L$14:L$18,L14)&gt;1,TRUE,FALSE))</formula>
    </cfRule>
    <cfRule type="expression" dxfId="1743" priority="136">
      <formula>AND(IF(COUNTIF(R$14:R$18,"=1")=2,TRUE),IF(COUNTIF(R$14:R$18,"=2")=2,TRUE))</formula>
    </cfRule>
    <cfRule type="expression" dxfId="1742" priority="137">
      <formula>AND(R14=4,IF(COUNTIF(R$14:R$18,"=4")=1,TRUE))</formula>
    </cfRule>
    <cfRule type="expression" dxfId="1741" priority="138">
      <formula>AND(R14=3,IF(COUNTIF(R$14:R$18,"=3")=1,TRUE))</formula>
    </cfRule>
    <cfRule type="expression" dxfId="1740" priority="139">
      <formula>AND(R14=2,IF(COUNTIF(R$14:R$18,"=2")=1,TRUE))</formula>
    </cfRule>
    <cfRule type="expression" dxfId="1739" priority="140">
      <formula>AND(R14=1,IF(COUNTIF(R$14:R$18,"=1")=1,TRUE))</formula>
    </cfRule>
    <cfRule type="expression" dxfId="1738" priority="141">
      <formula>OR(R14=0,R14=5)</formula>
    </cfRule>
  </conditionalFormatting>
  <conditionalFormatting sqref="J14:J18">
    <cfRule type="expression" dxfId="1737" priority="130">
      <formula>AND(Q14=4,IF(COUNTIF(Q$14:Q$18,"=4")&gt;=2,TRUE))</formula>
    </cfRule>
    <cfRule type="expression" dxfId="1736" priority="131">
      <formula>AND(Q14=3,IF(COUNTIF(Q$14:Q$18,"=3")&gt;=2,TRUE))</formula>
    </cfRule>
    <cfRule type="expression" dxfId="1735" priority="132">
      <formula>AND(Q14=2,IF(COUNTIF(Q$14:Q$18,"=2")&gt;=2,TRUE))</formula>
    </cfRule>
    <cfRule type="expression" dxfId="1734" priority="133">
      <formula>AND(Q14=1,IF(COUNTIF(Q$14:Q$18,"=1")&gt;=2,TRUE))</formula>
    </cfRule>
  </conditionalFormatting>
  <conditionalFormatting sqref="K14:K18">
    <cfRule type="expression" dxfId="1733" priority="153">
      <formula>AND(J14&gt;0,IF(COUNTIF(J$14:J$18,"=1")=2,TRUE),IF(COUNTIF(J$14:J$18,"=2")=2,TRUE))</formula>
    </cfRule>
    <cfRule type="expression" dxfId="1732" priority="154">
      <formula>IF(COUNTIF(L$14:L$18,"=2")=2,TRUE)</formula>
    </cfRule>
    <cfRule type="expression" dxfId="1731" priority="155">
      <formula>IF(COUNTIF(L$14:L$18,"=1")=2,TRUE)</formula>
    </cfRule>
    <cfRule type="expression" dxfId="1730" priority="156">
      <formula>AND(IF(COUNTIF(R$14:R$18,"=1")=2,TRUE),IF(COUNTIF(S$14:S$18,"=2")=2,TRUE))</formula>
    </cfRule>
    <cfRule type="expression" dxfId="1729" priority="157">
      <formula>AND(R14=4,IF(COUNTIF(R$14:R$18,"=4")=1,TRUE))</formula>
    </cfRule>
    <cfRule type="expression" dxfId="1728" priority="158">
      <formula>AND(R14=3,IF(COUNTIF(R$14:R$18,"=3")=1,TRUE))</formula>
    </cfRule>
    <cfRule type="expression" dxfId="1727" priority="159">
      <formula>AND(R14=2,IF(COUNTIF(R$14:R$18,"=2")=1,TRUE))</formula>
    </cfRule>
    <cfRule type="expression" dxfId="1726" priority="160">
      <formula>AND(R14=1,IF(COUNTIF(R$14:R$18,"=1")=1,TRUE))</formula>
    </cfRule>
    <cfRule type="expression" dxfId="1725" priority="161">
      <formula>OR(R14=0,R14=5)</formula>
    </cfRule>
  </conditionalFormatting>
  <conditionalFormatting sqref="L21:L25">
    <cfRule type="expression" dxfId="1724" priority="102">
      <formula>K21=0</formula>
    </cfRule>
    <cfRule type="expression" dxfId="1723" priority="111">
      <formula>IF(COUNTIF(J$21:J$25,"=2")=2,TRUE)</formula>
    </cfRule>
    <cfRule type="expression" dxfId="1722" priority="112">
      <formula>IF(COUNTIF(J$21:J$25,"=1")=2,TRUE)</formula>
    </cfRule>
    <cfRule type="expression" dxfId="1721" priority="113">
      <formula>AND(IF(COUNTIF(Q$21:Q$25,"=1")=2,TRUE),IF(COUNTIF(Q$21:Q$25,"=2")=2,TRUE))</formula>
    </cfRule>
    <cfRule type="expression" dxfId="1720" priority="114">
      <formula>AND(Q21=4,IF(COUNTIF(Q$21:Q$25,"=4")=1,TRUE))</formula>
    </cfRule>
    <cfRule type="expression" dxfId="1719" priority="115">
      <formula>AND(Q21=3,IF(COUNTIF(Q$21:Q$25,"=3")=1,TRUE))</formula>
    </cfRule>
    <cfRule type="expression" dxfId="1718" priority="116">
      <formula>AND(Q21=2,IF(COUNTIF(Q$21:Q$25,"=2")=1,TRUE))</formula>
    </cfRule>
    <cfRule type="expression" dxfId="1717" priority="117">
      <formula>AND(Q21=1,IF(COUNTIF(Q$21:Q$25,"=1")=1,TRUE))</formula>
    </cfRule>
    <cfRule type="expression" dxfId="1716" priority="118">
      <formula>OR(Q21=0,Q21=5)</formula>
    </cfRule>
  </conditionalFormatting>
  <conditionalFormatting sqref="O21:O25">
    <cfRule type="expression" dxfId="1715" priority="110">
      <formula>OR(AND(J21=1,K21=1,L21=0,M21=1),AND(J21=2,K21=2,L21=0,M21=2))</formula>
    </cfRule>
  </conditionalFormatting>
  <conditionalFormatting sqref="M21:M25">
    <cfRule type="expression" dxfId="1714" priority="103">
      <formula>AND(L21&gt;0,IF(COUNTIF(L$21:L$25,L21)&gt;1,TRUE,FALSE))</formula>
    </cfRule>
    <cfRule type="expression" dxfId="1713" priority="104">
      <formula>AND(IF(COUNTIF(R$21:R$25,"=1")=2,TRUE),IF(COUNTIF(R$21:R$25,"=2")=2,TRUE))</formula>
    </cfRule>
    <cfRule type="expression" dxfId="1712" priority="105">
      <formula>AND(R21=4,IF(COUNTIF(R$21:R$25,"=4")=1,TRUE))</formula>
    </cfRule>
    <cfRule type="expression" dxfId="1711" priority="106">
      <formula>AND(R21=3,IF(COUNTIF(R$21:R$25,"=3")=1,TRUE))</formula>
    </cfRule>
    <cfRule type="expression" dxfId="1710" priority="107">
      <formula>AND(R21=2,IF(COUNTIF(R$21:R$25,"=2")=1,TRUE))</formula>
    </cfRule>
    <cfRule type="expression" dxfId="1709" priority="108">
      <formula>AND(R21=1,IF(COUNTIF(R$21:R$25,"=1")=1,TRUE))</formula>
    </cfRule>
    <cfRule type="expression" dxfId="1708" priority="109">
      <formula>OR(R21=0,R21=5)</formula>
    </cfRule>
  </conditionalFormatting>
  <conditionalFormatting sqref="J21:J25">
    <cfRule type="expression" dxfId="1707" priority="98">
      <formula>AND(Q21=4,IF(COUNTIF(Q$21:Q$25,"=4")&gt;=2,TRUE))</formula>
    </cfRule>
    <cfRule type="expression" dxfId="1706" priority="99">
      <formula>AND(Q21=3,IF(COUNTIF(Q$21:Q$25,"=3")&gt;=2,TRUE))</formula>
    </cfRule>
    <cfRule type="expression" dxfId="1705" priority="100">
      <formula>AND(Q21=2,IF(COUNTIF(Q$21:Q$25,"=2")&gt;=2,TRUE))</formula>
    </cfRule>
    <cfRule type="expression" dxfId="1704" priority="101">
      <formula>AND(Q21=1,IF(COUNTIF(Q$21:Q$25,"=1")&gt;=2,TRUE))</formula>
    </cfRule>
  </conditionalFormatting>
  <conditionalFormatting sqref="K21:K25">
    <cfRule type="expression" dxfId="1703" priority="119">
      <formula>AND(J21&gt;0,IF(COUNTIF(J$21:J$25,"=1")=2,TRUE),IF(COUNTIF(J$21:J$25,"=2")=2,TRUE))</formula>
    </cfRule>
    <cfRule type="expression" dxfId="1702" priority="120">
      <formula>IF(COUNTIF(L$21:L$25,"=2")=2,TRUE)</formula>
    </cfRule>
    <cfRule type="expression" dxfId="1701" priority="121">
      <formula>IF(COUNTIF(L$21:L$25,"=1")=2,TRUE)</formula>
    </cfRule>
    <cfRule type="expression" dxfId="1700" priority="122">
      <formula>AND(IF(COUNTIF(R$21:R$25,"=1")=2,TRUE),IF(COUNTIF(S$21:S$25,"=2")=2,TRUE))</formula>
    </cfRule>
    <cfRule type="expression" dxfId="1699" priority="123">
      <formula>AND(R21=4,IF(COUNTIF(R$21:R$25,"=4")=1,TRUE))</formula>
    </cfRule>
    <cfRule type="expression" dxfId="1698" priority="124">
      <formula>AND(R21=3,IF(COUNTIF(R$21:R$25,"=3")=1,TRUE))</formula>
    </cfRule>
    <cfRule type="expression" dxfId="1697" priority="125">
      <formula>AND(R21=2,IF(COUNTIF(R$21:R$25,"=2")=1,TRUE))</formula>
    </cfRule>
    <cfRule type="expression" dxfId="1696" priority="126">
      <formula>AND(R21=1,IF(COUNTIF(R$21:R$25,"=1")=1,TRUE))</formula>
    </cfRule>
    <cfRule type="expression" dxfId="1695" priority="127">
      <formula>OR(R21=0,R21=5)</formula>
    </cfRule>
  </conditionalFormatting>
  <conditionalFormatting sqref="H21:H25">
    <cfRule type="expression" dxfId="1694" priority="94">
      <formula>AND(Q21=4,IF(COUNTIF(Q$21:Q$25,"=4")&gt;=2,TRUE))</formula>
    </cfRule>
    <cfRule type="expression" dxfId="1693" priority="95">
      <formula>AND(Q21=3,IF(COUNTIF(Q$21:Q$25,"=3")&gt;=2,TRUE))</formula>
    </cfRule>
    <cfRule type="expression" dxfId="1692" priority="96">
      <formula>AND(Q21=2,IF(COUNTIF(Q$21:Q$25,"=2")&gt;=2,TRUE))</formula>
    </cfRule>
    <cfRule type="expression" dxfId="1691" priority="97">
      <formula>AND(Q21=1,IF(COUNTIF(Q$21:Q$25,"=1")&gt;=2,TRUE))</formula>
    </cfRule>
  </conditionalFormatting>
  <conditionalFormatting sqref="L28:L32">
    <cfRule type="expression" dxfId="1690" priority="68">
      <formula>K28=0</formula>
    </cfRule>
    <cfRule type="expression" dxfId="1689" priority="77">
      <formula>IF(COUNTIF(J$28:J$32,"=2")=2,TRUE)</formula>
    </cfRule>
    <cfRule type="expression" dxfId="1688" priority="78">
      <formula>IF(COUNTIF(J$28:J$32,"=1")=2,TRUE)</formula>
    </cfRule>
    <cfRule type="expression" dxfId="1687" priority="79">
      <formula>AND(IF(COUNTIF(Q$28:Q$32,"=1")=2,TRUE),IF(COUNTIF(Q$28:Q$32,"=2")=2,TRUE))</formula>
    </cfRule>
    <cfRule type="expression" dxfId="1686" priority="80">
      <formula>AND(Q28=4,IF(COUNTIF(Q$28:Q$32,"=4")=1,TRUE))</formula>
    </cfRule>
    <cfRule type="expression" dxfId="1685" priority="81">
      <formula>AND(Q28=3,IF(COUNTIF(Q$28:Q$32,"=3")=1,TRUE))</formula>
    </cfRule>
    <cfRule type="expression" dxfId="1684" priority="82">
      <formula>AND(Q28=2,IF(COUNTIF(Q$28:Q$32,"=2")=1,TRUE))</formula>
    </cfRule>
    <cfRule type="expression" dxfId="1683" priority="83">
      <formula>AND(Q28=1,IF(COUNTIF(Q$28:Q$32,"=1")=1,TRUE))</formula>
    </cfRule>
    <cfRule type="expression" dxfId="1682" priority="84">
      <formula>OR(Q28=0,Q28=5)</formula>
    </cfRule>
  </conditionalFormatting>
  <conditionalFormatting sqref="O28:O32">
    <cfRule type="expression" dxfId="1681" priority="76">
      <formula>OR(AND(J28=1,K28=1,L28=0,M28=1),AND(J28=2,K28=2,L28=0,M28=2))</formula>
    </cfRule>
  </conditionalFormatting>
  <conditionalFormatting sqref="M28:M32">
    <cfRule type="expression" dxfId="1680" priority="69">
      <formula>AND(L28&gt;0,IF(COUNTIF(L$28:L$32,L28)&gt;1,TRUE,FALSE))</formula>
    </cfRule>
    <cfRule type="expression" dxfId="1679" priority="70">
      <formula>AND(IF(COUNTIF(R$28:R$32,"=1")=2,TRUE),IF(COUNTIF(R$28:R$32,"=2")=2,TRUE))</formula>
    </cfRule>
    <cfRule type="expression" dxfId="1678" priority="71">
      <formula>AND(R28=4,IF(COUNTIF(R$28:R$32,"=4")=1,TRUE))</formula>
    </cfRule>
    <cfRule type="expression" dxfId="1677" priority="72">
      <formula>AND(R28=3,IF(COUNTIF(R$28:R$32,"=3")=1,TRUE))</formula>
    </cfRule>
    <cfRule type="expression" dxfId="1676" priority="73">
      <formula>AND(R28=2,IF(COUNTIF(R$28:R$32,"=2")=1,TRUE))</formula>
    </cfRule>
    <cfRule type="expression" dxfId="1675" priority="74">
      <formula>AND(R28=1,IF(COUNTIF(R$28:R$32,"=1")=1,TRUE))</formula>
    </cfRule>
    <cfRule type="expression" dxfId="1674" priority="75">
      <formula>OR(R28=0,R28=5)</formula>
    </cfRule>
  </conditionalFormatting>
  <conditionalFormatting sqref="J28:J32">
    <cfRule type="expression" dxfId="1673" priority="64">
      <formula>AND(Q28=4,IF(COUNTIF(Q$28:Q$32,"=4")&gt;=2,TRUE))</formula>
    </cfRule>
    <cfRule type="expression" dxfId="1672" priority="65">
      <formula>AND(Q28=3,IF(COUNTIF(Q$28:Q$32,"=3")&gt;=2,TRUE))</formula>
    </cfRule>
    <cfRule type="expression" dxfId="1671" priority="66">
      <formula>AND(Q28=2,IF(COUNTIF(Q$28:Q$32,"=2")&gt;=2,TRUE))</formula>
    </cfRule>
    <cfRule type="expression" dxfId="1670" priority="67">
      <formula>AND(Q28=1,IF(COUNTIF(Q$28:Q$32,"=1")&gt;=2,TRUE))</formula>
    </cfRule>
  </conditionalFormatting>
  <conditionalFormatting sqref="K28:K32">
    <cfRule type="expression" dxfId="1669" priority="85">
      <formula>AND(J28&gt;0,IF(COUNTIF(J$28:J$32,"=1")=2,TRUE),IF(COUNTIF(J$28:J$32,"=2")=2,TRUE))</formula>
    </cfRule>
    <cfRule type="expression" dxfId="1668" priority="86">
      <formula>IF(COUNTIF(L$28:L$32,"=2")=2,TRUE)</formula>
    </cfRule>
    <cfRule type="expression" dxfId="1667" priority="87">
      <formula>IF(COUNTIF(L$28:L$32,"=1")=2,TRUE)</formula>
    </cfRule>
    <cfRule type="expression" dxfId="1666" priority="88">
      <formula>AND(IF(COUNTIF(R$28:R$32,"=1")=2,TRUE),IF(COUNTIF(S$28:S$32,"=2")=2,TRUE))</formula>
    </cfRule>
    <cfRule type="expression" dxfId="1665" priority="89">
      <formula>AND(R28=4,IF(COUNTIF(R$28:R$32,"=4")=1,TRUE))</formula>
    </cfRule>
    <cfRule type="expression" dxfId="1664" priority="90">
      <formula>AND(R28=3,IF(COUNTIF(R$28:R$32,"=3")=1,TRUE))</formula>
    </cfRule>
    <cfRule type="expression" dxfId="1663" priority="91">
      <formula>AND(R28=2,IF(COUNTIF(R$28:R$32,"=2")=1,TRUE))</formula>
    </cfRule>
    <cfRule type="expression" dxfId="1662" priority="92">
      <formula>AND(R28=1,IF(COUNTIF(R$28:R$32,"=1")=1,TRUE))</formula>
    </cfRule>
    <cfRule type="expression" dxfId="1661" priority="93">
      <formula>OR(R28=0,R28=5)</formula>
    </cfRule>
  </conditionalFormatting>
  <conditionalFormatting sqref="H28:H32">
    <cfRule type="expression" dxfId="1660" priority="60">
      <formula>AND(Q28=4,IF(COUNTIF(Q$28:Q$32,"=4")&gt;=2,TRUE))</formula>
    </cfRule>
    <cfRule type="expression" dxfId="1659" priority="61">
      <formula>AND(Q28=3,IF(COUNTIF(Q$28:Q$32,"=3")&gt;=2,TRUE))</formula>
    </cfRule>
    <cfRule type="expression" dxfId="1658" priority="62">
      <formula>AND(Q28=2,IF(COUNTIF(Q$28:Q$32,"=2")&gt;=2,TRUE))</formula>
    </cfRule>
    <cfRule type="expression" dxfId="1657" priority="63">
      <formula>AND(Q28=1,IF(COUNTIF(Q$28:Q$32,"=1")&gt;=2,TRUE))</formula>
    </cfRule>
  </conditionalFormatting>
  <conditionalFormatting sqref="C102 C104">
    <cfRule type="aboveAverage" dxfId="1656" priority="59"/>
  </conditionalFormatting>
  <conditionalFormatting sqref="C102 C104">
    <cfRule type="containsBlanks" dxfId="1655" priority="58">
      <formula>LEN(TRIM(C102))=0</formula>
    </cfRule>
  </conditionalFormatting>
  <conditionalFormatting sqref="E103 E107">
    <cfRule type="containsBlanks" dxfId="1654" priority="56">
      <formula>LEN(TRIM(E103))=0</formula>
    </cfRule>
    <cfRule type="aboveAverage" dxfId="1653" priority="57"/>
  </conditionalFormatting>
  <conditionalFormatting sqref="E111 E115">
    <cfRule type="containsBlanks" dxfId="1652" priority="54">
      <formula>LEN(TRIM(E111))=0</formula>
    </cfRule>
    <cfRule type="aboveAverage" dxfId="1651" priority="55"/>
  </conditionalFormatting>
  <conditionalFormatting sqref="C106 C108">
    <cfRule type="aboveAverage" dxfId="1650" priority="53"/>
  </conditionalFormatting>
  <conditionalFormatting sqref="C106 C108">
    <cfRule type="containsBlanks" dxfId="1649" priority="52">
      <formula>LEN(TRIM(C106))=0</formula>
    </cfRule>
  </conditionalFormatting>
  <conditionalFormatting sqref="C110 C112">
    <cfRule type="aboveAverage" dxfId="1648" priority="51"/>
  </conditionalFormatting>
  <conditionalFormatting sqref="C110 C112">
    <cfRule type="containsBlanks" dxfId="1647" priority="50">
      <formula>LEN(TRIM(C110))=0</formula>
    </cfRule>
  </conditionalFormatting>
  <conditionalFormatting sqref="C114 C116">
    <cfRule type="aboveAverage" dxfId="1646" priority="49"/>
  </conditionalFormatting>
  <conditionalFormatting sqref="C114 C116">
    <cfRule type="containsBlanks" dxfId="1645" priority="48">
      <formula>LEN(TRIM(C114))=0</formula>
    </cfRule>
  </conditionalFormatting>
  <conditionalFormatting sqref="G117 G119">
    <cfRule type="aboveAverage" dxfId="1644" priority="47"/>
  </conditionalFormatting>
  <conditionalFormatting sqref="G117 G119">
    <cfRule type="containsBlanks" dxfId="1643" priority="46">
      <formula>LEN(TRIM(G117))=0</formula>
    </cfRule>
  </conditionalFormatting>
  <conditionalFormatting sqref="G105 G113">
    <cfRule type="containsBlanks" dxfId="1642" priority="44">
      <formula>LEN(TRIM(G105))=0</formula>
    </cfRule>
    <cfRule type="aboveAverage" dxfId="1641" priority="45"/>
  </conditionalFormatting>
  <conditionalFormatting sqref="G124 G128">
    <cfRule type="containsBlanks" dxfId="1640" priority="42">
      <formula>LEN(TRIM(G124))=0</formula>
    </cfRule>
    <cfRule type="aboveAverage" dxfId="1639" priority="43"/>
  </conditionalFormatting>
  <conditionalFormatting sqref="E123 E125">
    <cfRule type="aboveAverage" dxfId="1638" priority="41"/>
  </conditionalFormatting>
  <conditionalFormatting sqref="E123 E125">
    <cfRule type="containsBlanks" dxfId="1637" priority="40">
      <formula>LEN(TRIM(E123))=0</formula>
    </cfRule>
  </conditionalFormatting>
  <conditionalFormatting sqref="E127 E129">
    <cfRule type="aboveAverage" dxfId="1636" priority="39"/>
  </conditionalFormatting>
  <conditionalFormatting sqref="E127 E129">
    <cfRule type="containsBlanks" dxfId="1635" priority="38">
      <formula>LEN(TRIM(E127))=0</formula>
    </cfRule>
  </conditionalFormatting>
  <conditionalFormatting sqref="G131 G133">
    <cfRule type="aboveAverage" dxfId="1634" priority="37"/>
  </conditionalFormatting>
  <conditionalFormatting sqref="G131 G133">
    <cfRule type="containsBlanks" dxfId="1633" priority="36">
      <formula>LEN(TRIM(G131))=0</formula>
    </cfRule>
  </conditionalFormatting>
  <conditionalFormatting sqref="C140 C142">
    <cfRule type="aboveAverage" dxfId="1632" priority="35"/>
  </conditionalFormatting>
  <conditionalFormatting sqref="C140 C142">
    <cfRule type="containsBlanks" dxfId="1631" priority="34">
      <formula>LEN(TRIM(C140))=0</formula>
    </cfRule>
  </conditionalFormatting>
  <conditionalFormatting sqref="E141 E145">
    <cfRule type="containsBlanks" dxfId="1630" priority="32">
      <formula>LEN(TRIM(E141))=0</formula>
    </cfRule>
    <cfRule type="aboveAverage" dxfId="1629" priority="33"/>
  </conditionalFormatting>
  <conditionalFormatting sqref="E149 E153">
    <cfRule type="containsBlanks" dxfId="1628" priority="30">
      <formula>LEN(TRIM(E149))=0</formula>
    </cfRule>
    <cfRule type="aboveAverage" dxfId="1627" priority="31"/>
  </conditionalFormatting>
  <conditionalFormatting sqref="C144 C146">
    <cfRule type="aboveAverage" dxfId="1626" priority="29"/>
  </conditionalFormatting>
  <conditionalFormatting sqref="C144 C146">
    <cfRule type="containsBlanks" dxfId="1625" priority="28">
      <formula>LEN(TRIM(C144))=0</formula>
    </cfRule>
  </conditionalFormatting>
  <conditionalFormatting sqref="C148 C150">
    <cfRule type="aboveAverage" dxfId="1624" priority="27"/>
  </conditionalFormatting>
  <conditionalFormatting sqref="C148 C150">
    <cfRule type="containsBlanks" dxfId="1623" priority="26">
      <formula>LEN(TRIM(C148))=0</formula>
    </cfRule>
  </conditionalFormatting>
  <conditionalFormatting sqref="C152 C154">
    <cfRule type="aboveAverage" dxfId="1622" priority="25"/>
  </conditionalFormatting>
  <conditionalFormatting sqref="C152 C154">
    <cfRule type="containsBlanks" dxfId="1621" priority="24">
      <formula>LEN(TRIM(C152))=0</formula>
    </cfRule>
  </conditionalFormatting>
  <conditionalFormatting sqref="G155 G157">
    <cfRule type="aboveAverage" dxfId="1620" priority="23"/>
  </conditionalFormatting>
  <conditionalFormatting sqref="G155 G157">
    <cfRule type="containsBlanks" dxfId="1619" priority="22">
      <formula>LEN(TRIM(G155))=0</formula>
    </cfRule>
  </conditionalFormatting>
  <conditionalFormatting sqref="G143 G151">
    <cfRule type="containsBlanks" dxfId="1618" priority="20">
      <formula>LEN(TRIM(G143))=0</formula>
    </cfRule>
    <cfRule type="aboveAverage" dxfId="1617" priority="21"/>
  </conditionalFormatting>
  <conditionalFormatting sqref="G162 G166">
    <cfRule type="containsBlanks" dxfId="1616" priority="18">
      <formula>LEN(TRIM(G162))=0</formula>
    </cfRule>
    <cfRule type="aboveAverage" dxfId="1615" priority="19"/>
  </conditionalFormatting>
  <conditionalFormatting sqref="E161 E163">
    <cfRule type="aboveAverage" dxfId="1614" priority="17"/>
  </conditionalFormatting>
  <conditionalFormatting sqref="E161 E163">
    <cfRule type="containsBlanks" dxfId="1613" priority="16">
      <formula>LEN(TRIM(E161))=0</formula>
    </cfRule>
  </conditionalFormatting>
  <conditionalFormatting sqref="E165 E167">
    <cfRule type="aboveAverage" dxfId="1612" priority="15"/>
  </conditionalFormatting>
  <conditionalFormatting sqref="E165 E167">
    <cfRule type="containsBlanks" dxfId="1611" priority="14">
      <formula>LEN(TRIM(E165))=0</formula>
    </cfRule>
  </conditionalFormatting>
  <conditionalFormatting sqref="G169 G171">
    <cfRule type="aboveAverage" dxfId="1610" priority="13"/>
  </conditionalFormatting>
  <conditionalFormatting sqref="G169 G171">
    <cfRule type="containsBlanks" dxfId="1609" priority="12">
      <formula>LEN(TRIM(G169))=0</formula>
    </cfRule>
  </conditionalFormatting>
  <conditionalFormatting sqref="AJ6:AJ32">
    <cfRule type="expression" dxfId="1608" priority="5">
      <formula>AND(AI6="",FIND(",",AJ6))</formula>
    </cfRule>
    <cfRule type="expression" dxfId="1607" priority="7">
      <formula>AND(AI6="",COUNTIF(AJ6,"*,*")=0)</formula>
    </cfRule>
  </conditionalFormatting>
  <conditionalFormatting sqref="AH6:AH32">
    <cfRule type="expression" dxfId="1606" priority="8">
      <formula>AND(AG6="",FIND(",",AH6))</formula>
    </cfRule>
    <cfRule type="expression" dxfId="1605" priority="9">
      <formula>AND(AG6="",COUNTIF(AH6,"*,*")=0)</formula>
    </cfRule>
  </conditionalFormatting>
  <conditionalFormatting sqref="AL6:AL32">
    <cfRule type="expression" dxfId="1604" priority="10">
      <formula>AND(AK6="",FIND(",",AL6))</formula>
    </cfRule>
    <cfRule type="expression" dxfId="1603" priority="11">
      <formula>AND(AK6="",COUNTIF(AL6,"*,*")=0)</formula>
    </cfRule>
  </conditionalFormatting>
  <conditionalFormatting sqref="AF6:AF32">
    <cfRule type="expression" dxfId="1602" priority="6">
      <formula>AND(AE6="",COUNTIF(AF6,"*,*")=0)</formula>
    </cfRule>
  </conditionalFormatting>
  <conditionalFormatting sqref="AN6:AN32">
    <cfRule type="expression" dxfId="1601" priority="2">
      <formula>AND(AM6="",COUNTIF(AN6,"*,*")=0)</formula>
    </cfRule>
    <cfRule type="expression" dxfId="1600" priority="4">
      <formula>AND(AM6="",FIND(",",AN6))</formula>
    </cfRule>
  </conditionalFormatting>
  <conditionalFormatting sqref="AP6:AP32">
    <cfRule type="expression" dxfId="1599" priority="1">
      <formula>AND(AO6="",COUNTIF(AP6,"*,*")=0)</formula>
    </cfRule>
    <cfRule type="expression" dxfId="1598" priority="3">
      <formula>AND(AO6="",FIND(",",AP6))</formula>
    </cfRule>
  </conditionalFormatting>
  <conditionalFormatting sqref="A300:A308">
    <cfRule type="duplicateValues" dxfId="1597" priority="583"/>
  </conditionalFormatting>
  <conditionalFormatting sqref="B300:B308">
    <cfRule type="expression" dxfId="1596" priority="584">
      <formula>A300=3</formula>
    </cfRule>
    <cfRule type="expression" dxfId="1595" priority="585">
      <formula>A300=2</formula>
    </cfRule>
    <cfRule type="expression" dxfId="1594" priority="586">
      <formula>A300=1</formula>
    </cfRule>
    <cfRule type="containsBlanks" dxfId="1593" priority="587">
      <formula>LEN(TRIM(B300))=0</formula>
    </cfRule>
    <cfRule type="duplicateValues" dxfId="1592" priority="588"/>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325"/>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16.570312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0" width="9.140625" hidden="1" customWidth="1"/>
    <col min="31" max="31" width="16.5703125" hidden="1" customWidth="1"/>
    <col min="32" max="32" width="9.140625" hidden="1" customWidth="1"/>
  </cols>
  <sheetData>
    <row r="1" spans="1:32" x14ac:dyDescent="0.2">
      <c r="A1" s="462" t="str">
        <f>UPPER((Kalend!E39)&amp;" - "&amp;(Kalend!C39)&amp;" - "&amp;(Kalend!D39))</f>
        <v>13 - IDA-VIRUMAA MV - ÜKSIK</v>
      </c>
      <c r="L1" s="406"/>
      <c r="M1" s="586"/>
      <c r="N1" s="586"/>
      <c r="O1" s="587"/>
      <c r="P1" s="549" t="s">
        <v>68</v>
      </c>
      <c r="Q1" s="586"/>
      <c r="R1" s="586"/>
      <c r="S1" s="586"/>
      <c r="T1" s="586"/>
      <c r="AD1" s="176" t="s">
        <v>68</v>
      </c>
      <c r="AE1" s="536"/>
      <c r="AF1" s="536"/>
    </row>
    <row r="2" spans="1:32" x14ac:dyDescent="0.2">
      <c r="A2" s="409" t="str">
        <f>"Toimumisaeg: "&amp;(Kalend!A39)&amp;" kell "&amp;(Kalend!B39)</f>
        <v>Toimumisaeg: P, 05.09.2021 kell 11:00</v>
      </c>
      <c r="AD2" s="409"/>
      <c r="AE2" s="409"/>
      <c r="AF2" s="409"/>
    </row>
    <row r="3" spans="1:32" x14ac:dyDescent="0.2">
      <c r="A3" s="409" t="str">
        <f>"Toimumiskoht: "&amp;(Kalend!F39)</f>
        <v>Toimumiskoht: K-Järve spordihoone</v>
      </c>
    </row>
    <row r="4" spans="1:32" x14ac:dyDescent="0.2">
      <c r="A4" s="409" t="str">
        <f>"Korraldaja: "&amp;(Kalend!G39)</f>
        <v>Korraldaja: Ivar Viljaste</v>
      </c>
      <c r="AD4" s="537" t="s">
        <v>231</v>
      </c>
      <c r="AF4" s="409"/>
    </row>
    <row r="5" spans="1:32" hidden="1" x14ac:dyDescent="0.2">
      <c r="R5" s="588" t="s">
        <v>311</v>
      </c>
      <c r="AD5" s="538" t="s">
        <v>287</v>
      </c>
      <c r="AE5" s="540" t="s">
        <v>93</v>
      </c>
      <c r="AF5" s="539"/>
    </row>
    <row r="6" spans="1:32" hidden="1" x14ac:dyDescent="0.2">
      <c r="A6" s="550" t="s">
        <v>200</v>
      </c>
      <c r="B6" s="551"/>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row>
    <row r="7" spans="1:32" hidden="1" x14ac:dyDescent="0.2">
      <c r="A7" s="550">
        <v>1</v>
      </c>
      <c r="B7" s="561" t="s">
        <v>145</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26">
        <f ca="1">SUM(AF7:AF7)</f>
        <v>116</v>
      </c>
      <c r="AE7" s="543" t="str">
        <f>$B7</f>
        <v>Tõnis Neiland</v>
      </c>
      <c r="AF7" s="544">
        <f ca="1">IFERROR(INDEX(Reit!$I:$I,MATCH(AE7,Reit!$F:$F,0)),"")</f>
        <v>116</v>
      </c>
    </row>
    <row r="8" spans="1:32" hidden="1" x14ac:dyDescent="0.2">
      <c r="A8" s="550">
        <v>2</v>
      </c>
      <c r="B8" s="576" t="s">
        <v>105</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26">
        <f ca="1">SUM(AF8:AF8)</f>
        <v>292</v>
      </c>
      <c r="AE8" s="543" t="str">
        <f>$B8</f>
        <v>Oskar Sepp</v>
      </c>
      <c r="AF8" s="544">
        <f ca="1">IFERROR(INDEX(Reit!$I:$I,MATCH(AE8,Reit!$F:$F,0)),"")</f>
        <v>292</v>
      </c>
    </row>
    <row r="9" spans="1:32" hidden="1" x14ac:dyDescent="0.2">
      <c r="A9" s="550">
        <v>3</v>
      </c>
      <c r="B9" s="576" t="s">
        <v>115</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26">
        <f ca="1">SUM(AF9:AF9)</f>
        <v>232</v>
      </c>
      <c r="AE9" s="543" t="str">
        <f>$B9</f>
        <v>Aarne Välja</v>
      </c>
      <c r="AF9" s="544">
        <f ca="1">IFERROR(INDEX(Reit!$I:$I,MATCH(AE9,Reit!$F:$F,0)),"")</f>
        <v>232</v>
      </c>
    </row>
    <row r="10" spans="1:32" hidden="1" x14ac:dyDescent="0.2">
      <c r="A10" s="550">
        <v>4</v>
      </c>
      <c r="B10" s="581" t="s">
        <v>124</v>
      </c>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U10" s="584"/>
      <c r="AD10" s="426">
        <f ca="1">SUM(AF10:AF10)</f>
        <v>286</v>
      </c>
      <c r="AE10" s="543" t="str">
        <f t="shared" ref="AE10:AE32" si="0">$B10</f>
        <v>Henri Mitt</v>
      </c>
      <c r="AF10" s="544">
        <f ca="1">IFERROR(INDEX(Reit!$I:$I,MATCH(AE10,Reit!$F:$F,0)),"")</f>
        <v>286</v>
      </c>
    </row>
    <row r="11" spans="1:32" hidden="1" x14ac:dyDescent="0.2">
      <c r="A11" s="550">
        <v>5</v>
      </c>
      <c r="B11" s="581" t="s">
        <v>135</v>
      </c>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0.01</v>
      </c>
      <c r="T11" s="575" t="str">
        <f>Q11&amp;J11</f>
        <v>00</v>
      </c>
      <c r="U11" s="584"/>
      <c r="AD11" s="426">
        <f ca="1">SUM(AF11:AF11)</f>
        <v>211</v>
      </c>
      <c r="AE11" s="543" t="str">
        <f t="shared" si="0"/>
        <v>Kaspar Mänd</v>
      </c>
      <c r="AF11" s="544">
        <f ca="1">IFERROR(INDEX(Reit!$I:$I,MATCH(AE11,Reit!$F:$F,0)),"")</f>
        <v>211</v>
      </c>
    </row>
    <row r="12" spans="1:32" hidden="1" x14ac:dyDescent="0.2">
      <c r="A12" s="592"/>
      <c r="B12" s="593" t="s">
        <v>401</v>
      </c>
      <c r="C12" s="594"/>
      <c r="D12" s="595"/>
      <c r="E12" s="594"/>
      <c r="F12" s="596"/>
      <c r="G12" s="597"/>
      <c r="H12" s="598"/>
      <c r="I12" s="405"/>
      <c r="J12" s="584"/>
      <c r="K12" s="584"/>
      <c r="L12" s="584"/>
      <c r="M12" s="584"/>
      <c r="N12" s="584"/>
      <c r="O12" s="584"/>
      <c r="P12" s="584"/>
      <c r="Q12" s="584"/>
      <c r="R12" s="588" t="s">
        <v>311</v>
      </c>
      <c r="S12" s="584"/>
      <c r="T12" s="584"/>
      <c r="U12" s="584"/>
      <c r="AD12" s="426">
        <f t="shared" ref="AD12:AD32" ca="1" si="1">SUM(AF12:AF12)</f>
        <v>116</v>
      </c>
      <c r="AE12" s="543" t="str">
        <f t="shared" si="0"/>
        <v>Olav Türk</v>
      </c>
      <c r="AF12" s="544">
        <f ca="1">IFERROR(INDEX(Reit!$I:$I,MATCH(AE12,Reit!$F:$F,0)),"")</f>
        <v>116</v>
      </c>
    </row>
    <row r="13" spans="1:32" hidden="1" x14ac:dyDescent="0.2">
      <c r="A13" s="550" t="s">
        <v>201</v>
      </c>
      <c r="B13" s="551" t="s">
        <v>139</v>
      </c>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26">
        <f t="shared" ca="1" si="1"/>
        <v>88</v>
      </c>
      <c r="AE13" s="543" t="str">
        <f t="shared" si="0"/>
        <v>Jaan Saar</v>
      </c>
      <c r="AF13" s="544">
        <f ca="1">IFERROR(INDEX(Reit!$I:$I,MATCH(AE13,Reit!$F:$F,0)),"")</f>
        <v>88</v>
      </c>
    </row>
    <row r="14" spans="1:32" hidden="1" x14ac:dyDescent="0.2">
      <c r="A14" s="550">
        <v>1</v>
      </c>
      <c r="B14" s="534" t="s">
        <v>116</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26">
        <f t="shared" ca="1" si="1"/>
        <v>185</v>
      </c>
      <c r="AE14" s="543" t="str">
        <f t="shared" si="0"/>
        <v>Boriss Klubov</v>
      </c>
      <c r="AF14" s="544">
        <f ca="1">IFERROR(INDEX(Reit!$I:$I,MATCH(AE14,Reit!$F:$F,0)),"")</f>
        <v>185</v>
      </c>
    </row>
    <row r="15" spans="1:32" hidden="1" x14ac:dyDescent="0.2">
      <c r="A15" s="550">
        <v>2</v>
      </c>
      <c r="B15" s="561" t="s">
        <v>107</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26">
        <f t="shared" ca="1" si="1"/>
        <v>294</v>
      </c>
      <c r="AE15" s="543" t="str">
        <f t="shared" si="0"/>
        <v>Matti Vinni</v>
      </c>
      <c r="AF15" s="544">
        <f ca="1">IFERROR(INDEX(Reit!$I:$I,MATCH(AE15,Reit!$F:$F,0)),"")</f>
        <v>294</v>
      </c>
    </row>
    <row r="16" spans="1:32" hidden="1" x14ac:dyDescent="0.2">
      <c r="A16" s="550">
        <v>3</v>
      </c>
      <c r="B16" s="576" t="s">
        <v>138</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26">
        <f t="shared" ca="1" si="1"/>
        <v>132</v>
      </c>
      <c r="AE16" s="543" t="str">
        <f t="shared" si="0"/>
        <v>Viktor Švarõgin</v>
      </c>
      <c r="AF16" s="544">
        <f ca="1">IFERROR(INDEX(Reit!$I:$I,MATCH(AE16,Reit!$F:$F,0)),"")</f>
        <v>132</v>
      </c>
    </row>
    <row r="17" spans="1:32" hidden="1" x14ac:dyDescent="0.2">
      <c r="A17" s="550">
        <v>4</v>
      </c>
      <c r="B17" s="581" t="s">
        <v>12</v>
      </c>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0.01</v>
      </c>
      <c r="T17" s="575" t="str">
        <f>Q17&amp;J17</f>
        <v>00</v>
      </c>
      <c r="U17" s="584"/>
      <c r="AD17" s="426">
        <f t="shared" ca="1" si="1"/>
        <v>272</v>
      </c>
      <c r="AE17" s="543" t="str">
        <f t="shared" si="0"/>
        <v>Ivar Viljaste</v>
      </c>
      <c r="AF17" s="544">
        <f ca="1">IFERROR(INDEX(Reit!$I:$I,MATCH(AE17,Reit!$F:$F,0)),"")</f>
        <v>272</v>
      </c>
    </row>
    <row r="18" spans="1:32" hidden="1" x14ac:dyDescent="0.2">
      <c r="A18" s="550">
        <v>5</v>
      </c>
      <c r="B18" s="581" t="s">
        <v>156</v>
      </c>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0.01</v>
      </c>
      <c r="T18" s="575" t="str">
        <f>Q18&amp;J18</f>
        <v>00</v>
      </c>
      <c r="U18" s="584"/>
      <c r="AD18" s="426">
        <f t="shared" ca="1" si="1"/>
        <v>130</v>
      </c>
      <c r="AE18" s="543" t="str">
        <f t="shared" si="0"/>
        <v>Marta Bernat</v>
      </c>
      <c r="AF18" s="544">
        <f ca="1">IFERROR(INDEX(Reit!$I:$I,MATCH(AE18,Reit!$F:$F,0)),"")</f>
        <v>130</v>
      </c>
    </row>
    <row r="19" spans="1:32" hidden="1" x14ac:dyDescent="0.2">
      <c r="A19" s="592"/>
      <c r="B19" s="593" t="s">
        <v>118</v>
      </c>
      <c r="C19" s="594"/>
      <c r="D19" s="595"/>
      <c r="E19" s="594"/>
      <c r="F19" s="596"/>
      <c r="G19" s="597"/>
      <c r="H19" s="598"/>
      <c r="I19" s="614"/>
      <c r="J19" s="584"/>
      <c r="K19" s="584"/>
      <c r="L19" s="584"/>
      <c r="M19" s="584"/>
      <c r="N19" s="584"/>
      <c r="O19" s="584"/>
      <c r="P19" s="584"/>
      <c r="Q19" s="584"/>
      <c r="R19" s="588" t="s">
        <v>311</v>
      </c>
      <c r="S19" s="584"/>
      <c r="T19" s="584"/>
      <c r="U19" s="584"/>
      <c r="AD19" s="426">
        <f t="shared" ca="1" si="1"/>
        <v>206</v>
      </c>
      <c r="AE19" s="543" t="str">
        <f t="shared" si="0"/>
        <v>Svetlana Veski</v>
      </c>
      <c r="AF19" s="544">
        <f ca="1">IFERROR(INDEX(Reit!$I:$I,MATCH(AE19,Reit!$F:$F,0)),"")</f>
        <v>206</v>
      </c>
    </row>
    <row r="20" spans="1:32" hidden="1" x14ac:dyDescent="0.2">
      <c r="A20" s="550" t="s">
        <v>202</v>
      </c>
      <c r="B20" s="551" t="s">
        <v>152</v>
      </c>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26">
        <f t="shared" ca="1" si="1"/>
        <v>156</v>
      </c>
      <c r="AE20" s="543" t="str">
        <f t="shared" si="0"/>
        <v>Sander Rose</v>
      </c>
      <c r="AF20" s="544">
        <f ca="1">IFERROR(INDEX(Reit!$I:$I,MATCH(AE20,Reit!$F:$F,0)),"")</f>
        <v>156</v>
      </c>
    </row>
    <row r="21" spans="1:32" hidden="1" x14ac:dyDescent="0.2">
      <c r="A21" s="550">
        <v>1</v>
      </c>
      <c r="B21" s="561" t="s">
        <v>129</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26">
        <f t="shared" ca="1" si="1"/>
        <v>68</v>
      </c>
      <c r="AE21" s="543" t="str">
        <f t="shared" si="0"/>
        <v>Enn Tokman</v>
      </c>
      <c r="AF21" s="544">
        <f ca="1">IFERROR(INDEX(Reit!$I:$I,MATCH(AE21,Reit!$F:$F,0)),"")</f>
        <v>68</v>
      </c>
    </row>
    <row r="22" spans="1:32" hidden="1" x14ac:dyDescent="0.2">
      <c r="A22" s="550">
        <v>2</v>
      </c>
      <c r="B22" s="576" t="s">
        <v>106</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26">
        <f t="shared" ca="1" si="1"/>
        <v>248</v>
      </c>
      <c r="AE22" s="543" t="str">
        <f t="shared" si="0"/>
        <v>Jaan Sepp</v>
      </c>
      <c r="AF22" s="544">
        <f ca="1">IFERROR(INDEX(Reit!$I:$I,MATCH(AE22,Reit!$F:$F,0)),"")</f>
        <v>248</v>
      </c>
    </row>
    <row r="23" spans="1:32" hidden="1" x14ac:dyDescent="0.2">
      <c r="A23" s="550">
        <v>3</v>
      </c>
      <c r="B23" s="576" t="s">
        <v>112</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26">
        <f t="shared" ca="1" si="1"/>
        <v>197</v>
      </c>
      <c r="AE23" s="543" t="str">
        <f t="shared" si="0"/>
        <v>Andres Veski</v>
      </c>
      <c r="AF23" s="544">
        <f ca="1">IFERROR(INDEX(Reit!$I:$I,MATCH(AE23,Reit!$F:$F,0)),"")</f>
        <v>197</v>
      </c>
    </row>
    <row r="24" spans="1:32" hidden="1" x14ac:dyDescent="0.2">
      <c r="A24" s="550">
        <v>4</v>
      </c>
      <c r="B24" s="576" t="s">
        <v>109</v>
      </c>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0.01</v>
      </c>
      <c r="T24" s="575" t="str">
        <f>Q24&amp;J24</f>
        <v>00</v>
      </c>
      <c r="U24" s="584"/>
      <c r="AD24" s="426">
        <f t="shared" ca="1" si="1"/>
        <v>159</v>
      </c>
      <c r="AE24" s="543" t="str">
        <f t="shared" si="0"/>
        <v>Elmo Lageda</v>
      </c>
      <c r="AF24" s="544">
        <f ca="1">IFERROR(INDEX(Reit!$I:$I,MATCH(AE24,Reit!$F:$F,0)),"")</f>
        <v>159</v>
      </c>
    </row>
    <row r="25" spans="1:32" hidden="1" x14ac:dyDescent="0.2">
      <c r="A25" s="550">
        <v>5</v>
      </c>
      <c r="B25" s="581" t="s">
        <v>149</v>
      </c>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0.01</v>
      </c>
      <c r="T25" s="575" t="str">
        <f>Q25&amp;J25</f>
        <v>00</v>
      </c>
      <c r="U25" s="584"/>
      <c r="AD25" s="426">
        <f t="shared" ca="1" si="1"/>
        <v>34</v>
      </c>
      <c r="AE25" s="543" t="str">
        <f t="shared" si="0"/>
        <v>Vello Vasser</v>
      </c>
      <c r="AF25" s="544">
        <f ca="1">IFERROR(INDEX(Reit!$I:$I,MATCH(AE25,Reit!$F:$F,0)),"")</f>
        <v>34</v>
      </c>
    </row>
    <row r="26" spans="1:32" hidden="1" x14ac:dyDescent="0.2">
      <c r="A26" s="615"/>
      <c r="B26" s="587" t="s">
        <v>137</v>
      </c>
      <c r="C26" s="597"/>
      <c r="D26" s="597"/>
      <c r="E26" s="597"/>
      <c r="F26" s="616"/>
      <c r="G26" s="616"/>
      <c r="H26" s="617"/>
      <c r="I26" s="587"/>
      <c r="J26" s="584"/>
      <c r="K26" s="584"/>
      <c r="L26" s="584"/>
      <c r="M26" s="584"/>
      <c r="N26" s="584"/>
      <c r="O26" s="584"/>
      <c r="P26" s="584"/>
      <c r="Q26" s="584"/>
      <c r="R26" s="588" t="s">
        <v>311</v>
      </c>
      <c r="S26" s="584"/>
      <c r="T26" s="584"/>
      <c r="U26" s="584"/>
      <c r="AD26" s="426">
        <f t="shared" ca="1" si="1"/>
        <v>149</v>
      </c>
      <c r="AE26" s="543" t="str">
        <f t="shared" si="0"/>
        <v>Ljudmila Varendi</v>
      </c>
      <c r="AF26" s="544">
        <f ca="1">IFERROR(INDEX(Reit!$I:$I,MATCH(AE26,Reit!$F:$F,0)),"")</f>
        <v>149</v>
      </c>
    </row>
    <row r="27" spans="1:32" hidden="1" x14ac:dyDescent="0.2">
      <c r="A27" s="550" t="s">
        <v>203</v>
      </c>
      <c r="B27" s="551" t="s">
        <v>144</v>
      </c>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26">
        <f t="shared" ca="1" si="1"/>
        <v>38</v>
      </c>
      <c r="AE27" s="543" t="str">
        <f t="shared" si="0"/>
        <v>Tarmo Bombe</v>
      </c>
      <c r="AF27" s="544">
        <f ca="1">IFERROR(INDEX(Reit!$I:$I,MATCH(AE27,Reit!$F:$F,0)),"")</f>
        <v>38</v>
      </c>
    </row>
    <row r="28" spans="1:32" hidden="1" x14ac:dyDescent="0.2">
      <c r="A28" s="550">
        <v>1</v>
      </c>
      <c r="B28" s="618" t="s">
        <v>142</v>
      </c>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0.01</v>
      </c>
      <c r="T28" s="575" t="str">
        <f>Q28&amp;J28</f>
        <v>00</v>
      </c>
      <c r="U28" s="584"/>
      <c r="AD28" s="426">
        <f t="shared" ca="1" si="1"/>
        <v>44</v>
      </c>
      <c r="AE28" s="543" t="str">
        <f t="shared" si="0"/>
        <v>Illar Tõnurist</v>
      </c>
      <c r="AF28" s="544">
        <f ca="1">IFERROR(INDEX(Reit!$I:$I,MATCH(AE28,Reit!$F:$F,0)),"")</f>
        <v>44</v>
      </c>
    </row>
    <row r="29" spans="1:32" hidden="1" x14ac:dyDescent="0.2">
      <c r="A29" s="550">
        <v>2</v>
      </c>
      <c r="B29" s="576" t="s">
        <v>488</v>
      </c>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0.01</v>
      </c>
      <c r="T29" s="575" t="str">
        <f>Q29&amp;J29</f>
        <v>00</v>
      </c>
      <c r="U29" s="584"/>
      <c r="AD29" s="426">
        <f t="shared" ca="1" si="1"/>
        <v>19</v>
      </c>
      <c r="AE29" s="543" t="str">
        <f t="shared" si="0"/>
        <v>Sirje Maala</v>
      </c>
      <c r="AF29" s="544">
        <f ca="1">IFERROR(INDEX(Reit!$I:$I,MATCH(AE29,Reit!$F:$F,0)),"")</f>
        <v>19</v>
      </c>
    </row>
    <row r="30" spans="1:32" hidden="1" x14ac:dyDescent="0.2">
      <c r="A30" s="550">
        <v>3</v>
      </c>
      <c r="B30" s="576" t="s">
        <v>110</v>
      </c>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0.01</v>
      </c>
      <c r="T30" s="575" t="str">
        <f>Q30&amp;J30</f>
        <v>00</v>
      </c>
      <c r="U30" s="584"/>
      <c r="AD30" s="426">
        <f t="shared" ca="1" si="1"/>
        <v>273</v>
      </c>
      <c r="AE30" s="543" t="str">
        <f t="shared" si="0"/>
        <v>Kenneth Muusikus</v>
      </c>
      <c r="AF30" s="544">
        <f ca="1">IFERROR(INDEX(Reit!$I:$I,MATCH(AE30,Reit!$F:$F,0)),"")</f>
        <v>273</v>
      </c>
    </row>
    <row r="31" spans="1:32" hidden="1" x14ac:dyDescent="0.2">
      <c r="A31" s="550">
        <v>4</v>
      </c>
      <c r="B31" s="581" t="s">
        <v>108</v>
      </c>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0.01</v>
      </c>
      <c r="T31" s="575" t="str">
        <f>Q31&amp;J31</f>
        <v>00</v>
      </c>
      <c r="U31" s="584"/>
      <c r="AD31" s="426">
        <f t="shared" ca="1" si="1"/>
        <v>212</v>
      </c>
      <c r="AE31" s="543" t="str">
        <f t="shared" si="0"/>
        <v>Oleg Rõndenkov</v>
      </c>
      <c r="AF31" s="544">
        <f ca="1">IFERROR(INDEX(Reit!$I:$I,MATCH(AE31,Reit!$F:$F,0)),"")</f>
        <v>212</v>
      </c>
    </row>
    <row r="32" spans="1:32" hidden="1" x14ac:dyDescent="0.2">
      <c r="A32" s="550">
        <v>5</v>
      </c>
      <c r="B32" s="581" t="s">
        <v>117</v>
      </c>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0.01</v>
      </c>
      <c r="T32" s="575" t="str">
        <f>Q32&amp;J32</f>
        <v>00</v>
      </c>
      <c r="U32" s="584"/>
      <c r="AD32" s="426">
        <f t="shared" ca="1" si="1"/>
        <v>174</v>
      </c>
      <c r="AE32" s="543" t="str">
        <f t="shared" si="0"/>
        <v>Andrei Grintšak</v>
      </c>
      <c r="AF32" s="544">
        <f ca="1">IFERROR(INDEX(Reit!$I:$I,MATCH(AE32,Reit!$F:$F,0)),"")</f>
        <v>174</v>
      </c>
    </row>
    <row r="33" spans="1:21"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145</v>
      </c>
      <c r="C300" s="981">
        <v>40</v>
      </c>
    </row>
    <row r="301" spans="1:3" x14ac:dyDescent="0.2">
      <c r="A301" s="449">
        <v>2</v>
      </c>
      <c r="B301" s="450" t="s">
        <v>105</v>
      </c>
      <c r="C301" s="981">
        <v>34</v>
      </c>
    </row>
    <row r="302" spans="1:3" x14ac:dyDescent="0.2">
      <c r="A302" s="449">
        <v>3</v>
      </c>
      <c r="B302" s="450" t="s">
        <v>115</v>
      </c>
      <c r="C302" s="981">
        <v>30</v>
      </c>
    </row>
    <row r="303" spans="1:3" x14ac:dyDescent="0.2">
      <c r="A303" s="449">
        <v>4</v>
      </c>
      <c r="B303" s="450" t="s">
        <v>124</v>
      </c>
      <c r="C303" s="981">
        <v>26</v>
      </c>
    </row>
    <row r="304" spans="1:3" x14ac:dyDescent="0.2">
      <c r="A304" s="449">
        <v>5</v>
      </c>
      <c r="B304" s="450" t="s">
        <v>135</v>
      </c>
      <c r="C304" s="981">
        <v>24</v>
      </c>
    </row>
    <row r="305" spans="1:3" x14ac:dyDescent="0.2">
      <c r="A305" s="449">
        <v>6</v>
      </c>
      <c r="B305" s="450" t="s">
        <v>401</v>
      </c>
      <c r="C305" s="981">
        <v>22</v>
      </c>
    </row>
    <row r="306" spans="1:3" x14ac:dyDescent="0.2">
      <c r="A306" s="449">
        <v>7</v>
      </c>
      <c r="B306" s="450" t="s">
        <v>139</v>
      </c>
      <c r="C306" s="981">
        <v>20</v>
      </c>
    </row>
    <row r="307" spans="1:3" x14ac:dyDescent="0.2">
      <c r="A307" s="449">
        <v>8</v>
      </c>
      <c r="B307" s="450" t="s">
        <v>116</v>
      </c>
      <c r="C307" s="981">
        <v>18</v>
      </c>
    </row>
    <row r="308" spans="1:3" x14ac:dyDescent="0.2">
      <c r="A308" s="449">
        <v>9</v>
      </c>
      <c r="B308" s="450" t="s">
        <v>107</v>
      </c>
      <c r="C308" s="981">
        <v>16</v>
      </c>
    </row>
    <row r="309" spans="1:3" x14ac:dyDescent="0.2">
      <c r="A309" s="449">
        <v>10</v>
      </c>
      <c r="B309" s="450" t="s">
        <v>138</v>
      </c>
      <c r="C309" s="981">
        <v>14</v>
      </c>
    </row>
    <row r="310" spans="1:3" x14ac:dyDescent="0.2">
      <c r="A310" s="449">
        <v>11</v>
      </c>
      <c r="B310" s="450" t="s">
        <v>12</v>
      </c>
      <c r="C310" s="981">
        <v>12</v>
      </c>
    </row>
    <row r="311" spans="1:3" x14ac:dyDescent="0.2">
      <c r="A311" s="449">
        <v>12</v>
      </c>
      <c r="B311" s="450" t="s">
        <v>156</v>
      </c>
      <c r="C311" s="981">
        <v>10</v>
      </c>
    </row>
    <row r="312" spans="1:3" x14ac:dyDescent="0.2">
      <c r="A312" s="449">
        <v>13</v>
      </c>
      <c r="B312" s="450" t="s">
        <v>118</v>
      </c>
      <c r="C312" s="981">
        <v>8</v>
      </c>
    </row>
    <row r="313" spans="1:3" x14ac:dyDescent="0.2">
      <c r="A313" s="449">
        <v>14</v>
      </c>
      <c r="B313" s="450" t="s">
        <v>152</v>
      </c>
      <c r="C313" s="981">
        <v>6</v>
      </c>
    </row>
    <row r="314" spans="1:3" x14ac:dyDescent="0.2">
      <c r="A314" s="449">
        <v>15</v>
      </c>
      <c r="B314" s="450" t="s">
        <v>129</v>
      </c>
      <c r="C314" s="981">
        <v>4</v>
      </c>
    </row>
    <row r="315" spans="1:3" x14ac:dyDescent="0.2">
      <c r="A315" s="449">
        <v>16</v>
      </c>
      <c r="B315" s="450" t="s">
        <v>106</v>
      </c>
      <c r="C315" s="981">
        <v>2</v>
      </c>
    </row>
    <row r="316" spans="1:3" x14ac:dyDescent="0.2">
      <c r="A316" s="449">
        <v>17</v>
      </c>
      <c r="B316" s="450" t="s">
        <v>112</v>
      </c>
      <c r="C316" s="981">
        <v>1</v>
      </c>
    </row>
    <row r="317" spans="1:3" x14ac:dyDescent="0.2">
      <c r="A317" s="449">
        <v>18</v>
      </c>
      <c r="B317" s="450" t="s">
        <v>109</v>
      </c>
      <c r="C317" s="981">
        <v>1</v>
      </c>
    </row>
    <row r="318" spans="1:3" x14ac:dyDescent="0.2">
      <c r="A318" s="449">
        <v>19</v>
      </c>
      <c r="B318" s="450" t="s">
        <v>149</v>
      </c>
      <c r="C318" s="981">
        <v>1</v>
      </c>
    </row>
    <row r="319" spans="1:3" x14ac:dyDescent="0.2">
      <c r="A319" s="449">
        <v>20</v>
      </c>
      <c r="B319" s="450" t="s">
        <v>137</v>
      </c>
      <c r="C319" s="981">
        <v>1</v>
      </c>
    </row>
    <row r="320" spans="1:3" x14ac:dyDescent="0.2">
      <c r="A320" s="449">
        <v>21</v>
      </c>
      <c r="B320" s="450" t="s">
        <v>144</v>
      </c>
      <c r="C320" s="981">
        <v>1</v>
      </c>
    </row>
    <row r="321" spans="1:3" x14ac:dyDescent="0.2">
      <c r="A321" s="449">
        <v>22</v>
      </c>
      <c r="B321" s="450" t="s">
        <v>142</v>
      </c>
      <c r="C321" s="981">
        <v>1</v>
      </c>
    </row>
    <row r="322" spans="1:3" x14ac:dyDescent="0.2">
      <c r="A322" s="449">
        <v>23</v>
      </c>
      <c r="B322" s="450" t="s">
        <v>488</v>
      </c>
      <c r="C322" s="981">
        <v>1</v>
      </c>
    </row>
    <row r="323" spans="1:3" x14ac:dyDescent="0.2">
      <c r="A323" s="449">
        <v>24</v>
      </c>
      <c r="B323" s="450" t="s">
        <v>110</v>
      </c>
      <c r="C323" s="981">
        <v>1</v>
      </c>
    </row>
    <row r="324" spans="1:3" x14ac:dyDescent="0.2">
      <c r="A324" s="449">
        <v>25</v>
      </c>
      <c r="B324" s="450" t="s">
        <v>108</v>
      </c>
      <c r="C324" s="981">
        <v>0</v>
      </c>
    </row>
    <row r="325" spans="1:3" x14ac:dyDescent="0.2">
      <c r="A325" s="449">
        <v>26</v>
      </c>
      <c r="B325" s="450" t="s">
        <v>117</v>
      </c>
      <c r="C325" s="981">
        <v>0</v>
      </c>
    </row>
  </sheetData>
  <conditionalFormatting sqref="D7 C8">
    <cfRule type="aboveAverage" dxfId="1591" priority="230"/>
  </conditionalFormatting>
  <conditionalFormatting sqref="E7 C9">
    <cfRule type="aboveAverage" dxfId="1590" priority="229"/>
  </conditionalFormatting>
  <conditionalFormatting sqref="F7 C10">
    <cfRule type="aboveAverage" dxfId="1589" priority="228"/>
  </conditionalFormatting>
  <conditionalFormatting sqref="E8 D9">
    <cfRule type="aboveAverage" dxfId="1588" priority="227"/>
  </conditionalFormatting>
  <conditionalFormatting sqref="G7 C11">
    <cfRule type="aboveAverage" dxfId="1587" priority="226"/>
  </conditionalFormatting>
  <conditionalFormatting sqref="F8 D10">
    <cfRule type="aboveAverage" dxfId="1586" priority="225"/>
  </conditionalFormatting>
  <conditionalFormatting sqref="G8 D11">
    <cfRule type="aboveAverage" dxfId="1585" priority="224"/>
  </conditionalFormatting>
  <conditionalFormatting sqref="F9 E10">
    <cfRule type="aboveAverage" dxfId="1584" priority="223"/>
  </conditionalFormatting>
  <conditionalFormatting sqref="G9 E11">
    <cfRule type="aboveAverage" dxfId="1583" priority="222"/>
  </conditionalFormatting>
  <conditionalFormatting sqref="F11 G10">
    <cfRule type="aboveAverage" dxfId="1582" priority="221"/>
  </conditionalFormatting>
  <conditionalFormatting sqref="D14 C15">
    <cfRule type="aboveAverage" dxfId="1581" priority="220"/>
  </conditionalFormatting>
  <conditionalFormatting sqref="E14 C16">
    <cfRule type="aboveAverage" dxfId="1580" priority="219"/>
  </conditionalFormatting>
  <conditionalFormatting sqref="F14 C17">
    <cfRule type="aboveAverage" dxfId="1579" priority="218"/>
  </conditionalFormatting>
  <conditionalFormatting sqref="E15 D16">
    <cfRule type="aboveAverage" dxfId="1578" priority="217"/>
  </conditionalFormatting>
  <conditionalFormatting sqref="G14 C18">
    <cfRule type="aboveAverage" dxfId="1577" priority="216"/>
  </conditionalFormatting>
  <conditionalFormatting sqref="F15 D17">
    <cfRule type="aboveAverage" dxfId="1576" priority="215"/>
  </conditionalFormatting>
  <conditionalFormatting sqref="G15 D18">
    <cfRule type="aboveAverage" dxfId="1575" priority="214"/>
  </conditionalFormatting>
  <conditionalFormatting sqref="F16 E17">
    <cfRule type="aboveAverage" dxfId="1574" priority="213"/>
  </conditionalFormatting>
  <conditionalFormatting sqref="G16 E18">
    <cfRule type="aboveAverage" dxfId="1573" priority="212"/>
  </conditionalFormatting>
  <conditionalFormatting sqref="F18 G17">
    <cfRule type="aboveAverage" dxfId="1572" priority="211"/>
  </conditionalFormatting>
  <conditionalFormatting sqref="D21 C22">
    <cfRule type="aboveAverage" dxfId="1571" priority="210"/>
  </conditionalFormatting>
  <conditionalFormatting sqref="E21 C23">
    <cfRule type="aboveAverage" dxfId="1570" priority="209"/>
  </conditionalFormatting>
  <conditionalFormatting sqref="F21 C24">
    <cfRule type="aboveAverage" dxfId="1569" priority="208"/>
  </conditionalFormatting>
  <conditionalFormatting sqref="E22 D23">
    <cfRule type="aboveAverage" dxfId="1568" priority="207"/>
  </conditionalFormatting>
  <conditionalFormatting sqref="G21 C25">
    <cfRule type="aboveAverage" dxfId="1567" priority="206"/>
  </conditionalFormatting>
  <conditionalFormatting sqref="F22 D24">
    <cfRule type="aboveAverage" dxfId="1566" priority="205"/>
  </conditionalFormatting>
  <conditionalFormatting sqref="G22 D25">
    <cfRule type="aboveAverage" dxfId="1565" priority="204"/>
  </conditionalFormatting>
  <conditionalFormatting sqref="F23 E24">
    <cfRule type="aboveAverage" dxfId="1564" priority="203"/>
  </conditionalFormatting>
  <conditionalFormatting sqref="G23 E25">
    <cfRule type="aboveAverage" dxfId="1563" priority="202"/>
  </conditionalFormatting>
  <conditionalFormatting sqref="F25 G24">
    <cfRule type="aboveAverage" dxfId="1562" priority="201"/>
  </conditionalFormatting>
  <conditionalFormatting sqref="D28 C29">
    <cfRule type="aboveAverage" dxfId="1561" priority="200"/>
  </conditionalFormatting>
  <conditionalFormatting sqref="E28 C30">
    <cfRule type="aboveAverage" dxfId="1560" priority="199"/>
  </conditionalFormatting>
  <conditionalFormatting sqref="F28 C31">
    <cfRule type="aboveAverage" dxfId="1559" priority="198"/>
  </conditionalFormatting>
  <conditionalFormatting sqref="E29 D30">
    <cfRule type="aboveAverage" dxfId="1558" priority="197"/>
  </conditionalFormatting>
  <conditionalFormatting sqref="G28 C32">
    <cfRule type="aboveAverage" dxfId="1557" priority="196"/>
  </conditionalFormatting>
  <conditionalFormatting sqref="F29 D31">
    <cfRule type="aboveAverage" dxfId="1556" priority="195"/>
  </conditionalFormatting>
  <conditionalFormatting sqref="G29 D32">
    <cfRule type="aboveAverage" dxfId="1555" priority="194"/>
  </conditionalFormatting>
  <conditionalFormatting sqref="F30 E31">
    <cfRule type="aboveAverage" dxfId="1554" priority="193"/>
  </conditionalFormatting>
  <conditionalFormatting sqref="G30 E32">
    <cfRule type="aboveAverage" dxfId="1553" priority="192"/>
  </conditionalFormatting>
  <conditionalFormatting sqref="F32 G31">
    <cfRule type="aboveAverage" dxfId="1552" priority="191"/>
  </conditionalFormatting>
  <conditionalFormatting sqref="I28:I32">
    <cfRule type="expression" dxfId="1551" priority="185">
      <formula>FIND(2,I28,1)</formula>
    </cfRule>
    <cfRule type="expression" dxfId="1550" priority="186">
      <formula>FIND(1,I28,1)</formula>
    </cfRule>
  </conditionalFormatting>
  <conditionalFormatting sqref="I21:I25">
    <cfRule type="expression" dxfId="1549" priority="187">
      <formula>FIND(2,I21,1)</formula>
    </cfRule>
    <cfRule type="expression" dxfId="1548" priority="188">
      <formula>FIND(1,I21,1)</formula>
    </cfRule>
  </conditionalFormatting>
  <conditionalFormatting sqref="I7:I11">
    <cfRule type="expression" dxfId="1547" priority="189">
      <formula>FIND(2,I7,1)</formula>
    </cfRule>
    <cfRule type="expression" dxfId="1546" priority="190">
      <formula>FIND(1,I7,1)</formula>
    </cfRule>
  </conditionalFormatting>
  <conditionalFormatting sqref="H14:H18">
    <cfRule type="expression" dxfId="1545" priority="129">
      <formula>AND(Q14=4,IF(COUNTIF(Q$14:Q$18,"=4")&gt;=2,TRUE))</formula>
    </cfRule>
    <cfRule type="expression" dxfId="1544" priority="231">
      <formula>AND(Q14=3,IF(COUNTIF(Q$14:Q$18,"=3")&gt;=2,TRUE))</formula>
    </cfRule>
    <cfRule type="expression" dxfId="1543" priority="232">
      <formula>AND(Q14=2,IF(COUNTIF(Q$14:Q$18,"=2")&gt;=2,TRUE))</formula>
    </cfRule>
    <cfRule type="expression" dxfId="1542" priority="233">
      <formula>AND(Q14=1,IF(COUNTIF(Q$14:Q$18,"=1")&gt;=2,TRUE))</formula>
    </cfRule>
  </conditionalFormatting>
  <conditionalFormatting sqref="B7:B33">
    <cfRule type="duplicateValues" dxfId="1541" priority="184"/>
  </conditionalFormatting>
  <conditionalFormatting sqref="L7:L11">
    <cfRule type="expression" dxfId="1540" priority="167">
      <formula>K7=0</formula>
    </cfRule>
    <cfRule type="expression" dxfId="1539" priority="176">
      <formula>IF(COUNTIF(J$7:J$11,"=2")=2,TRUE)</formula>
    </cfRule>
    <cfRule type="expression" dxfId="1538" priority="177">
      <formula>IF(COUNTIF(J$7:J$11,"=1")=2,TRUE)</formula>
    </cfRule>
    <cfRule type="expression" dxfId="1537" priority="178">
      <formula>AND(IF(COUNTIF(Q$7:Q$11,"=1")=2,TRUE),IF(COUNTIF(Q$7:Q$11,"=2")=2,TRUE))</formula>
    </cfRule>
    <cfRule type="expression" dxfId="1536" priority="179">
      <formula>AND(Q7=4,IF(COUNTIF(Q$7:Q$11,"=4")=1,TRUE))</formula>
    </cfRule>
    <cfRule type="expression" dxfId="1535" priority="180">
      <formula>AND(Q7=3,IF(COUNTIF(Q$7:Q$11,"=3")=1,TRUE))</formula>
    </cfRule>
    <cfRule type="expression" dxfId="1534" priority="181">
      <formula>AND(Q7=2,IF(COUNTIF(Q$7:Q$11,"=2")=1,TRUE))</formula>
    </cfRule>
    <cfRule type="expression" dxfId="1533" priority="182">
      <formula>AND(Q7=1,IF(COUNTIF(Q$7:Q$11,"=1")=1,TRUE))</formula>
    </cfRule>
    <cfRule type="expression" dxfId="1532" priority="183">
      <formula>OR(Q7=0,Q7=5)</formula>
    </cfRule>
  </conditionalFormatting>
  <conditionalFormatting sqref="O7:O11">
    <cfRule type="expression" dxfId="1531" priority="175">
      <formula>OR(AND(J7=1,K7=1,L7=0,M7=1),AND(J7=2,K7=2,L7=0,M7=2))</formula>
    </cfRule>
  </conditionalFormatting>
  <conditionalFormatting sqref="M7:M11">
    <cfRule type="expression" dxfId="1530" priority="168">
      <formula>AND(L7&gt;0,IF(COUNTIF(L$7:L$11,L7)&gt;1,TRUE,FALSE))</formula>
    </cfRule>
    <cfRule type="expression" dxfId="1529" priority="169">
      <formula>AND(IF(COUNTIF(R$7:R$11,"=1")=2,TRUE),IF(COUNTIF(R$7:R$11,"=2")=2,TRUE))</formula>
    </cfRule>
    <cfRule type="expression" dxfId="1528" priority="170">
      <formula>AND(R7=4,IF(COUNTIF(R$7:R$11,"=4")=1,TRUE))</formula>
    </cfRule>
    <cfRule type="expression" dxfId="1527" priority="171">
      <formula>AND(R7=3,IF(COUNTIF(R$7:R$11,"=3")=1,TRUE))</formula>
    </cfRule>
    <cfRule type="expression" dxfId="1526" priority="172">
      <formula>AND(R7=2,IF(COUNTIF(R$7:R$11,"=2")=1,TRUE))</formula>
    </cfRule>
    <cfRule type="expression" dxfId="1525" priority="173">
      <formula>AND(R7=1,IF(COUNTIF(R$7:R$11,"=1")=1,TRUE))</formula>
    </cfRule>
    <cfRule type="expression" dxfId="1524" priority="174">
      <formula>OR(R7=0,R7=5)</formula>
    </cfRule>
  </conditionalFormatting>
  <conditionalFormatting sqref="J7:J11">
    <cfRule type="expression" dxfId="1523" priority="163">
      <formula>AND(Q7=4,IF(COUNTIF(Q$7:Q$11,"=4")&gt;=2,TRUE))</formula>
    </cfRule>
    <cfRule type="expression" dxfId="1522" priority="164">
      <formula>AND(Q7=3,IF(COUNTIF(Q$7:Q$11,"=3")&gt;=2,TRUE))</formula>
    </cfRule>
    <cfRule type="expression" dxfId="1521" priority="165">
      <formula>AND(Q7=2,IF(COUNTIF(Q$7:Q$11,"=2")&gt;=2,TRUE))</formula>
    </cfRule>
    <cfRule type="expression" dxfId="1520" priority="166">
      <formula>AND(Q7=1,IF(COUNTIF(Q$7:Q$11,"=1")&gt;=2,TRUE))</formula>
    </cfRule>
  </conditionalFormatting>
  <conditionalFormatting sqref="H7:H11">
    <cfRule type="expression" dxfId="1519" priority="130">
      <formula>AND(Q7=4,IF(COUNTIF(Q$7:Q$11,"=4")&gt;=2,TRUE))</formula>
    </cfRule>
    <cfRule type="expression" dxfId="1518" priority="234">
      <formula>AND(Q7=3,IF(COUNTIF(Q$7:Q$11,"=3")&gt;=2,TRUE))</formula>
    </cfRule>
    <cfRule type="expression" dxfId="1517" priority="235">
      <formula>AND(Q7=2,IF(COUNTIF(Q$7:Q$11,"=2")&gt;=2,TRUE))</formula>
    </cfRule>
    <cfRule type="expression" dxfId="1516" priority="236">
      <formula>AND(Q7=1,IF(COUNTIF(Q$7:Q$11,"=1")&gt;=2,TRUE))</formula>
    </cfRule>
  </conditionalFormatting>
  <conditionalFormatting sqref="K7:K11">
    <cfRule type="expression" dxfId="1515" priority="237">
      <formula>AND(J7&gt;0,IF(COUNTIF(J$7:J$11,"=1")=2,TRUE),IF(COUNTIF(J$7:J$11,"=2")=2,TRUE))</formula>
    </cfRule>
    <cfRule type="expression" dxfId="1514" priority="238">
      <formula>IF(COUNTIF(L$7:L$11,"=2")=2,TRUE)</formula>
    </cfRule>
    <cfRule type="expression" dxfId="1513" priority="239">
      <formula>IF(COUNTIF(L$7:L$11,"=1")=2,TRUE)</formula>
    </cfRule>
    <cfRule type="expression" dxfId="1512" priority="240">
      <formula>AND(IF(COUNTIF(R$7:R$11,"=1")=2,TRUE),IF(COUNTIF(S$7:S$11,"=2")=2,TRUE))</formula>
    </cfRule>
    <cfRule type="expression" dxfId="1511" priority="241">
      <formula>AND(R7=4,IF(COUNTIF(R$7:R$11,"=4")=1,TRUE))</formula>
    </cfRule>
    <cfRule type="expression" dxfId="1510" priority="242">
      <formula>AND(R7=3,IF(COUNTIF(R$7:R$11,"=3")=1,TRUE))</formula>
    </cfRule>
    <cfRule type="expression" dxfId="1509" priority="243">
      <formula>AND(R7=2,IF(COUNTIF(R$7:R$11,"=2")=1,TRUE))</formula>
    </cfRule>
    <cfRule type="expression" dxfId="1508" priority="244">
      <formula>AND(R7=1,IF(COUNTIF(R$7:R$11,"=1")=1,TRUE))</formula>
    </cfRule>
    <cfRule type="expression" dxfId="1507" priority="245">
      <formula>OR(R7=0,R7=5)</formula>
    </cfRule>
  </conditionalFormatting>
  <conditionalFormatting sqref="I14:I18">
    <cfRule type="expression" dxfId="1506" priority="152">
      <formula>FIND(2,I14,1)</formula>
    </cfRule>
    <cfRule type="expression" dxfId="1505" priority="153">
      <formula>FIND(1,I14,1)</formula>
    </cfRule>
  </conditionalFormatting>
  <conditionalFormatting sqref="L14:L18">
    <cfRule type="expression" dxfId="1504" priority="135">
      <formula>K14=0</formula>
    </cfRule>
    <cfRule type="expression" dxfId="1503" priority="144">
      <formula>IF(COUNTIF(J$14:J$18,"=2")=2,TRUE)</formula>
    </cfRule>
    <cfRule type="expression" dxfId="1502" priority="145">
      <formula>IF(COUNTIF(J$14:J$18,"=1")=2,TRUE)</formula>
    </cfRule>
    <cfRule type="expression" dxfId="1501" priority="146">
      <formula>AND(IF(COUNTIF(Q$14:Q$18,"=1")=2,TRUE),IF(COUNTIF(Q$14:Q$18,"=2")=2,TRUE))</formula>
    </cfRule>
    <cfRule type="expression" dxfId="1500" priority="147">
      <formula>AND(Q14=4,IF(COUNTIF(Q$14:Q$18,"=4")=1,TRUE))</formula>
    </cfRule>
    <cfRule type="expression" dxfId="1499" priority="148">
      <formula>AND(Q14=3,IF(COUNTIF(Q$14:Q$18,"=3")=1,TRUE))</formula>
    </cfRule>
    <cfRule type="expression" dxfId="1498" priority="149">
      <formula>AND(Q14=2,IF(COUNTIF(Q$14:Q$18,"=2")=1,TRUE))</formula>
    </cfRule>
    <cfRule type="expression" dxfId="1497" priority="150">
      <formula>AND(Q14=1,IF(COUNTIF(Q$14:Q$18,"=1")=1,TRUE))</formula>
    </cfRule>
    <cfRule type="expression" dxfId="1496" priority="151">
      <formula>OR(Q14=0,Q14=5)</formula>
    </cfRule>
  </conditionalFormatting>
  <conditionalFormatting sqref="O14:O18">
    <cfRule type="expression" dxfId="1495" priority="143">
      <formula>OR(AND(J14=1,K14=1,L14=0,M14=1),AND(J14=2,K14=2,L14=0,M14=2))</formula>
    </cfRule>
  </conditionalFormatting>
  <conditionalFormatting sqref="M14:M18">
    <cfRule type="expression" dxfId="1494" priority="136">
      <formula>AND(L14&gt;0,IF(COUNTIF(L$14:L$18,L14)&gt;1,TRUE,FALSE))</formula>
    </cfRule>
    <cfRule type="expression" dxfId="1493" priority="137">
      <formula>AND(IF(COUNTIF(R$14:R$18,"=1")=2,TRUE),IF(COUNTIF(R$14:R$18,"=2")=2,TRUE))</formula>
    </cfRule>
    <cfRule type="expression" dxfId="1492" priority="138">
      <formula>AND(R14=4,IF(COUNTIF(R$14:R$18,"=4")=1,TRUE))</formula>
    </cfRule>
    <cfRule type="expression" dxfId="1491" priority="139">
      <formula>AND(R14=3,IF(COUNTIF(R$14:R$18,"=3")=1,TRUE))</formula>
    </cfRule>
    <cfRule type="expression" dxfId="1490" priority="140">
      <formula>AND(R14=2,IF(COUNTIF(R$14:R$18,"=2")=1,TRUE))</formula>
    </cfRule>
    <cfRule type="expression" dxfId="1489" priority="141">
      <formula>AND(R14=1,IF(COUNTIF(R$14:R$18,"=1")=1,TRUE))</formula>
    </cfRule>
    <cfRule type="expression" dxfId="1488" priority="142">
      <formula>OR(R14=0,R14=5)</formula>
    </cfRule>
  </conditionalFormatting>
  <conditionalFormatting sqref="J14:J18">
    <cfRule type="expression" dxfId="1487" priority="131">
      <formula>AND(Q14=4,IF(COUNTIF(Q$14:Q$18,"=4")&gt;=2,TRUE))</formula>
    </cfRule>
    <cfRule type="expression" dxfId="1486" priority="132">
      <formula>AND(Q14=3,IF(COUNTIF(Q$14:Q$18,"=3")&gt;=2,TRUE))</formula>
    </cfRule>
    <cfRule type="expression" dxfId="1485" priority="133">
      <formula>AND(Q14=2,IF(COUNTIF(Q$14:Q$18,"=2")&gt;=2,TRUE))</formula>
    </cfRule>
    <cfRule type="expression" dxfId="1484" priority="134">
      <formula>AND(Q14=1,IF(COUNTIF(Q$14:Q$18,"=1")&gt;=2,TRUE))</formula>
    </cfRule>
  </conditionalFormatting>
  <conditionalFormatting sqref="K14:K18">
    <cfRule type="expression" dxfId="1483" priority="154">
      <formula>AND(J14&gt;0,IF(COUNTIF(J$14:J$18,"=1")=2,TRUE),IF(COUNTIF(J$14:J$18,"=2")=2,TRUE))</formula>
    </cfRule>
    <cfRule type="expression" dxfId="1482" priority="155">
      <formula>IF(COUNTIF(L$14:L$18,"=2")=2,TRUE)</formula>
    </cfRule>
    <cfRule type="expression" dxfId="1481" priority="156">
      <formula>IF(COUNTIF(L$14:L$18,"=1")=2,TRUE)</formula>
    </cfRule>
    <cfRule type="expression" dxfId="1480" priority="157">
      <formula>AND(IF(COUNTIF(R$14:R$18,"=1")=2,TRUE),IF(COUNTIF(S$14:S$18,"=2")=2,TRUE))</formula>
    </cfRule>
    <cfRule type="expression" dxfId="1479" priority="158">
      <formula>AND(R14=4,IF(COUNTIF(R$14:R$18,"=4")=1,TRUE))</formula>
    </cfRule>
    <cfRule type="expression" dxfId="1478" priority="159">
      <formula>AND(R14=3,IF(COUNTIF(R$14:R$18,"=3")=1,TRUE))</formula>
    </cfRule>
    <cfRule type="expression" dxfId="1477" priority="160">
      <formula>AND(R14=2,IF(COUNTIF(R$14:R$18,"=2")=1,TRUE))</formula>
    </cfRule>
    <cfRule type="expression" dxfId="1476" priority="161">
      <formula>AND(R14=1,IF(COUNTIF(R$14:R$18,"=1")=1,TRUE))</formula>
    </cfRule>
    <cfRule type="expression" dxfId="1475" priority="162">
      <formula>OR(R14=0,R14=5)</formula>
    </cfRule>
  </conditionalFormatting>
  <conditionalFormatting sqref="L21:L25">
    <cfRule type="expression" dxfId="1474" priority="103">
      <formula>K21=0</formula>
    </cfRule>
    <cfRule type="expression" dxfId="1473" priority="112">
      <formula>IF(COUNTIF(J$21:J$25,"=2")=2,TRUE)</formula>
    </cfRule>
    <cfRule type="expression" dxfId="1472" priority="113">
      <formula>IF(COUNTIF(J$21:J$25,"=1")=2,TRUE)</formula>
    </cfRule>
    <cfRule type="expression" dxfId="1471" priority="114">
      <formula>AND(IF(COUNTIF(Q$21:Q$25,"=1")=2,TRUE),IF(COUNTIF(Q$21:Q$25,"=2")=2,TRUE))</formula>
    </cfRule>
    <cfRule type="expression" dxfId="1470" priority="115">
      <formula>AND(Q21=4,IF(COUNTIF(Q$21:Q$25,"=4")=1,TRUE))</formula>
    </cfRule>
    <cfRule type="expression" dxfId="1469" priority="116">
      <formula>AND(Q21=3,IF(COUNTIF(Q$21:Q$25,"=3")=1,TRUE))</formula>
    </cfRule>
    <cfRule type="expression" dxfId="1468" priority="117">
      <formula>AND(Q21=2,IF(COUNTIF(Q$21:Q$25,"=2")=1,TRUE))</formula>
    </cfRule>
    <cfRule type="expression" dxfId="1467" priority="118">
      <formula>AND(Q21=1,IF(COUNTIF(Q$21:Q$25,"=1")=1,TRUE))</formula>
    </cfRule>
    <cfRule type="expression" dxfId="1466" priority="119">
      <formula>OR(Q21=0,Q21=5)</formula>
    </cfRule>
  </conditionalFormatting>
  <conditionalFormatting sqref="O21:O25">
    <cfRule type="expression" dxfId="1465" priority="111">
      <formula>OR(AND(J21=1,K21=1,L21=0,M21=1),AND(J21=2,K21=2,L21=0,M21=2))</formula>
    </cfRule>
  </conditionalFormatting>
  <conditionalFormatting sqref="M21:M25">
    <cfRule type="expression" dxfId="1464" priority="104">
      <formula>AND(L21&gt;0,IF(COUNTIF(L$21:L$25,L21)&gt;1,TRUE,FALSE))</formula>
    </cfRule>
    <cfRule type="expression" dxfId="1463" priority="105">
      <formula>AND(IF(COUNTIF(R$21:R$25,"=1")=2,TRUE),IF(COUNTIF(R$21:R$25,"=2")=2,TRUE))</formula>
    </cfRule>
    <cfRule type="expression" dxfId="1462" priority="106">
      <formula>AND(R21=4,IF(COUNTIF(R$21:R$25,"=4")=1,TRUE))</formula>
    </cfRule>
    <cfRule type="expression" dxfId="1461" priority="107">
      <formula>AND(R21=3,IF(COUNTIF(R$21:R$25,"=3")=1,TRUE))</formula>
    </cfRule>
    <cfRule type="expression" dxfId="1460" priority="108">
      <formula>AND(R21=2,IF(COUNTIF(R$21:R$25,"=2")=1,TRUE))</formula>
    </cfRule>
    <cfRule type="expression" dxfId="1459" priority="109">
      <formula>AND(R21=1,IF(COUNTIF(R$21:R$25,"=1")=1,TRUE))</formula>
    </cfRule>
    <cfRule type="expression" dxfId="1458" priority="110">
      <formula>OR(R21=0,R21=5)</formula>
    </cfRule>
  </conditionalFormatting>
  <conditionalFormatting sqref="J21:J25">
    <cfRule type="expression" dxfId="1457" priority="99">
      <formula>AND(Q21=4,IF(COUNTIF(Q$21:Q$25,"=4")&gt;=2,TRUE))</formula>
    </cfRule>
    <cfRule type="expression" dxfId="1456" priority="100">
      <formula>AND(Q21=3,IF(COUNTIF(Q$21:Q$25,"=3")&gt;=2,TRUE))</formula>
    </cfRule>
    <cfRule type="expression" dxfId="1455" priority="101">
      <formula>AND(Q21=2,IF(COUNTIF(Q$21:Q$25,"=2")&gt;=2,TRUE))</formula>
    </cfRule>
    <cfRule type="expression" dxfId="1454" priority="102">
      <formula>AND(Q21=1,IF(COUNTIF(Q$21:Q$25,"=1")&gt;=2,TRUE))</formula>
    </cfRule>
  </conditionalFormatting>
  <conditionalFormatting sqref="K21:K25">
    <cfRule type="expression" dxfId="1453" priority="120">
      <formula>AND(J21&gt;0,IF(COUNTIF(J$21:J$25,"=1")=2,TRUE),IF(COUNTIF(J$21:J$25,"=2")=2,TRUE))</formula>
    </cfRule>
    <cfRule type="expression" dxfId="1452" priority="121">
      <formula>IF(COUNTIF(L$21:L$25,"=2")=2,TRUE)</formula>
    </cfRule>
    <cfRule type="expression" dxfId="1451" priority="122">
      <formula>IF(COUNTIF(L$21:L$25,"=1")=2,TRUE)</formula>
    </cfRule>
    <cfRule type="expression" dxfId="1450" priority="123">
      <formula>AND(IF(COUNTIF(R$21:R$25,"=1")=2,TRUE),IF(COUNTIF(S$21:S$25,"=2")=2,TRUE))</formula>
    </cfRule>
    <cfRule type="expression" dxfId="1449" priority="124">
      <formula>AND(R21=4,IF(COUNTIF(R$21:R$25,"=4")=1,TRUE))</formula>
    </cfRule>
    <cfRule type="expression" dxfId="1448" priority="125">
      <formula>AND(R21=3,IF(COUNTIF(R$21:R$25,"=3")=1,TRUE))</formula>
    </cfRule>
    <cfRule type="expression" dxfId="1447" priority="126">
      <formula>AND(R21=2,IF(COUNTIF(R$21:R$25,"=2")=1,TRUE))</formula>
    </cfRule>
    <cfRule type="expression" dxfId="1446" priority="127">
      <formula>AND(R21=1,IF(COUNTIF(R$21:R$25,"=1")=1,TRUE))</formula>
    </cfRule>
    <cfRule type="expression" dxfId="1445" priority="128">
      <formula>OR(R21=0,R21=5)</formula>
    </cfRule>
  </conditionalFormatting>
  <conditionalFormatting sqref="H21:H25">
    <cfRule type="expression" dxfId="1444" priority="95">
      <formula>AND(Q21=4,IF(COUNTIF(Q$21:Q$25,"=4")&gt;=2,TRUE))</formula>
    </cfRule>
    <cfRule type="expression" dxfId="1443" priority="96">
      <formula>AND(Q21=3,IF(COUNTIF(Q$21:Q$25,"=3")&gt;=2,TRUE))</formula>
    </cfRule>
    <cfRule type="expression" dxfId="1442" priority="97">
      <formula>AND(Q21=2,IF(COUNTIF(Q$21:Q$25,"=2")&gt;=2,TRUE))</formula>
    </cfRule>
    <cfRule type="expression" dxfId="1441" priority="98">
      <formula>AND(Q21=1,IF(COUNTIF(Q$21:Q$25,"=1")&gt;=2,TRUE))</formula>
    </cfRule>
  </conditionalFormatting>
  <conditionalFormatting sqref="L28:L32">
    <cfRule type="expression" dxfId="1440" priority="69">
      <formula>K28=0</formula>
    </cfRule>
    <cfRule type="expression" dxfId="1439" priority="78">
      <formula>IF(COUNTIF(J$28:J$32,"=2")=2,TRUE)</formula>
    </cfRule>
    <cfRule type="expression" dxfId="1438" priority="79">
      <formula>IF(COUNTIF(J$28:J$32,"=1")=2,TRUE)</formula>
    </cfRule>
    <cfRule type="expression" dxfId="1437" priority="80">
      <formula>AND(IF(COUNTIF(Q$28:Q$32,"=1")=2,TRUE),IF(COUNTIF(Q$28:Q$32,"=2")=2,TRUE))</formula>
    </cfRule>
    <cfRule type="expression" dxfId="1436" priority="81">
      <formula>AND(Q28=4,IF(COUNTIF(Q$28:Q$32,"=4")=1,TRUE))</formula>
    </cfRule>
    <cfRule type="expression" dxfId="1435" priority="82">
      <formula>AND(Q28=3,IF(COUNTIF(Q$28:Q$32,"=3")=1,TRUE))</formula>
    </cfRule>
    <cfRule type="expression" dxfId="1434" priority="83">
      <formula>AND(Q28=2,IF(COUNTIF(Q$28:Q$32,"=2")=1,TRUE))</formula>
    </cfRule>
    <cfRule type="expression" dxfId="1433" priority="84">
      <formula>AND(Q28=1,IF(COUNTIF(Q$28:Q$32,"=1")=1,TRUE))</formula>
    </cfRule>
    <cfRule type="expression" dxfId="1432" priority="85">
      <formula>OR(Q28=0,Q28=5)</formula>
    </cfRule>
  </conditionalFormatting>
  <conditionalFormatting sqref="O28:O32">
    <cfRule type="expression" dxfId="1431" priority="77">
      <formula>OR(AND(J28=1,K28=1,L28=0,M28=1),AND(J28=2,K28=2,L28=0,M28=2))</formula>
    </cfRule>
  </conditionalFormatting>
  <conditionalFormatting sqref="M28:M32">
    <cfRule type="expression" dxfId="1430" priority="70">
      <formula>AND(L28&gt;0,IF(COUNTIF(L$28:L$32,L28)&gt;1,TRUE,FALSE))</formula>
    </cfRule>
    <cfRule type="expression" dxfId="1429" priority="71">
      <formula>AND(IF(COUNTIF(R$28:R$32,"=1")=2,TRUE),IF(COUNTIF(R$28:R$32,"=2")=2,TRUE))</formula>
    </cfRule>
    <cfRule type="expression" dxfId="1428" priority="72">
      <formula>AND(R28=4,IF(COUNTIF(R$28:R$32,"=4")=1,TRUE))</formula>
    </cfRule>
    <cfRule type="expression" dxfId="1427" priority="73">
      <formula>AND(R28=3,IF(COUNTIF(R$28:R$32,"=3")=1,TRUE))</formula>
    </cfRule>
    <cfRule type="expression" dxfId="1426" priority="74">
      <formula>AND(R28=2,IF(COUNTIF(R$28:R$32,"=2")=1,TRUE))</formula>
    </cfRule>
    <cfRule type="expression" dxfId="1425" priority="75">
      <formula>AND(R28=1,IF(COUNTIF(R$28:R$32,"=1")=1,TRUE))</formula>
    </cfRule>
    <cfRule type="expression" dxfId="1424" priority="76">
      <formula>OR(R28=0,R28=5)</formula>
    </cfRule>
  </conditionalFormatting>
  <conditionalFormatting sqref="J28:J32">
    <cfRule type="expression" dxfId="1423" priority="65">
      <formula>AND(Q28=4,IF(COUNTIF(Q$28:Q$32,"=4")&gt;=2,TRUE))</formula>
    </cfRule>
    <cfRule type="expression" dxfId="1422" priority="66">
      <formula>AND(Q28=3,IF(COUNTIF(Q$28:Q$32,"=3")&gt;=2,TRUE))</formula>
    </cfRule>
    <cfRule type="expression" dxfId="1421" priority="67">
      <formula>AND(Q28=2,IF(COUNTIF(Q$28:Q$32,"=2")&gt;=2,TRUE))</formula>
    </cfRule>
    <cfRule type="expression" dxfId="1420" priority="68">
      <formula>AND(Q28=1,IF(COUNTIF(Q$28:Q$32,"=1")&gt;=2,TRUE))</formula>
    </cfRule>
  </conditionalFormatting>
  <conditionalFormatting sqref="K28:K32">
    <cfRule type="expression" dxfId="1419" priority="86">
      <formula>AND(J28&gt;0,IF(COUNTIF(J$28:J$32,"=1")=2,TRUE),IF(COUNTIF(J$28:J$32,"=2")=2,TRUE))</formula>
    </cfRule>
    <cfRule type="expression" dxfId="1418" priority="87">
      <formula>IF(COUNTIF(L$28:L$32,"=2")=2,TRUE)</formula>
    </cfRule>
    <cfRule type="expression" dxfId="1417" priority="88">
      <formula>IF(COUNTIF(L$28:L$32,"=1")=2,TRUE)</formula>
    </cfRule>
    <cfRule type="expression" dxfId="1416" priority="89">
      <formula>AND(IF(COUNTIF(R$28:R$32,"=1")=2,TRUE),IF(COUNTIF(S$28:S$32,"=2")=2,TRUE))</formula>
    </cfRule>
    <cfRule type="expression" dxfId="1415" priority="90">
      <formula>AND(R28=4,IF(COUNTIF(R$28:R$32,"=4")=1,TRUE))</formula>
    </cfRule>
    <cfRule type="expression" dxfId="1414" priority="91">
      <formula>AND(R28=3,IF(COUNTIF(R$28:R$32,"=3")=1,TRUE))</formula>
    </cfRule>
    <cfRule type="expression" dxfId="1413" priority="92">
      <formula>AND(R28=2,IF(COUNTIF(R$28:R$32,"=2")=1,TRUE))</formula>
    </cfRule>
    <cfRule type="expression" dxfId="1412" priority="93">
      <formula>AND(R28=1,IF(COUNTIF(R$28:R$32,"=1")=1,TRUE))</formula>
    </cfRule>
    <cfRule type="expression" dxfId="1411" priority="94">
      <formula>OR(R28=0,R28=5)</formula>
    </cfRule>
  </conditionalFormatting>
  <conditionalFormatting sqref="H28:H32">
    <cfRule type="expression" dxfId="1410" priority="61">
      <formula>AND(Q28=4,IF(COUNTIF(Q$28:Q$32,"=4")&gt;=2,TRUE))</formula>
    </cfRule>
    <cfRule type="expression" dxfId="1409" priority="62">
      <formula>AND(Q28=3,IF(COUNTIF(Q$28:Q$32,"=3")&gt;=2,TRUE))</formula>
    </cfRule>
    <cfRule type="expression" dxfId="1408" priority="63">
      <formula>AND(Q28=2,IF(COUNTIF(Q$28:Q$32,"=2")&gt;=2,TRUE))</formula>
    </cfRule>
    <cfRule type="expression" dxfId="1407" priority="64">
      <formula>AND(Q28=1,IF(COUNTIF(Q$28:Q$32,"=1")&gt;=2,TRUE))</formula>
    </cfRule>
  </conditionalFormatting>
  <conditionalFormatting sqref="C102 C104">
    <cfRule type="aboveAverage" dxfId="1406" priority="60"/>
  </conditionalFormatting>
  <conditionalFormatting sqref="C102 C104">
    <cfRule type="containsBlanks" dxfId="1405" priority="59">
      <formula>LEN(TRIM(C102))=0</formula>
    </cfRule>
  </conditionalFormatting>
  <conditionalFormatting sqref="E103 E107">
    <cfRule type="containsBlanks" dxfId="1404" priority="57">
      <formula>LEN(TRIM(E103))=0</formula>
    </cfRule>
    <cfRule type="aboveAverage" dxfId="1403" priority="58"/>
  </conditionalFormatting>
  <conditionalFormatting sqref="E111 E115">
    <cfRule type="containsBlanks" dxfId="1402" priority="55">
      <formula>LEN(TRIM(E111))=0</formula>
    </cfRule>
    <cfRule type="aboveAverage" dxfId="1401" priority="56"/>
  </conditionalFormatting>
  <conditionalFormatting sqref="C106 C108">
    <cfRule type="aboveAverage" dxfId="1400" priority="54"/>
  </conditionalFormatting>
  <conditionalFormatting sqref="C106 C108">
    <cfRule type="containsBlanks" dxfId="1399" priority="53">
      <formula>LEN(TRIM(C106))=0</formula>
    </cfRule>
  </conditionalFormatting>
  <conditionalFormatting sqref="C110 C112">
    <cfRule type="aboveAverage" dxfId="1398" priority="52"/>
  </conditionalFormatting>
  <conditionalFormatting sqref="C110 C112">
    <cfRule type="containsBlanks" dxfId="1397" priority="51">
      <formula>LEN(TRIM(C110))=0</formula>
    </cfRule>
  </conditionalFormatting>
  <conditionalFormatting sqref="C114 C116">
    <cfRule type="aboveAverage" dxfId="1396" priority="50"/>
  </conditionalFormatting>
  <conditionalFormatting sqref="C114 C116">
    <cfRule type="containsBlanks" dxfId="1395" priority="49">
      <formula>LEN(TRIM(C114))=0</formula>
    </cfRule>
  </conditionalFormatting>
  <conditionalFormatting sqref="G117 G119">
    <cfRule type="aboveAverage" dxfId="1394" priority="48"/>
  </conditionalFormatting>
  <conditionalFormatting sqref="G117 G119">
    <cfRule type="containsBlanks" dxfId="1393" priority="47">
      <formula>LEN(TRIM(G117))=0</formula>
    </cfRule>
  </conditionalFormatting>
  <conditionalFormatting sqref="G105 G113">
    <cfRule type="containsBlanks" dxfId="1392" priority="45">
      <formula>LEN(TRIM(G105))=0</formula>
    </cfRule>
    <cfRule type="aboveAverage" dxfId="1391" priority="46"/>
  </conditionalFormatting>
  <conditionalFormatting sqref="G124 G128">
    <cfRule type="containsBlanks" dxfId="1390" priority="43">
      <formula>LEN(TRIM(G124))=0</formula>
    </cfRule>
    <cfRule type="aboveAverage" dxfId="1389" priority="44"/>
  </conditionalFormatting>
  <conditionalFormatting sqref="E123 E125">
    <cfRule type="aboveAverage" dxfId="1388" priority="42"/>
  </conditionalFormatting>
  <conditionalFormatting sqref="E123 E125">
    <cfRule type="containsBlanks" dxfId="1387" priority="41">
      <formula>LEN(TRIM(E123))=0</formula>
    </cfRule>
  </conditionalFormatting>
  <conditionalFormatting sqref="E127 E129">
    <cfRule type="aboveAverage" dxfId="1386" priority="40"/>
  </conditionalFormatting>
  <conditionalFormatting sqref="E127 E129">
    <cfRule type="containsBlanks" dxfId="1385" priority="39">
      <formula>LEN(TRIM(E127))=0</formula>
    </cfRule>
  </conditionalFormatting>
  <conditionalFormatting sqref="G131 G133">
    <cfRule type="aboveAverage" dxfId="1384" priority="38"/>
  </conditionalFormatting>
  <conditionalFormatting sqref="G131 G133">
    <cfRule type="containsBlanks" dxfId="1383" priority="37">
      <formula>LEN(TRIM(G131))=0</formula>
    </cfRule>
  </conditionalFormatting>
  <conditionalFormatting sqref="C140 C142">
    <cfRule type="aboveAverage" dxfId="1382" priority="36"/>
  </conditionalFormatting>
  <conditionalFormatting sqref="C140 C142">
    <cfRule type="containsBlanks" dxfId="1381" priority="35">
      <formula>LEN(TRIM(C140))=0</formula>
    </cfRule>
  </conditionalFormatting>
  <conditionalFormatting sqref="E141 E145">
    <cfRule type="containsBlanks" dxfId="1380" priority="33">
      <formula>LEN(TRIM(E141))=0</formula>
    </cfRule>
    <cfRule type="aboveAverage" dxfId="1379" priority="34"/>
  </conditionalFormatting>
  <conditionalFormatting sqref="E149 E153">
    <cfRule type="containsBlanks" dxfId="1378" priority="31">
      <formula>LEN(TRIM(E149))=0</formula>
    </cfRule>
    <cfRule type="aboveAverage" dxfId="1377" priority="32"/>
  </conditionalFormatting>
  <conditionalFormatting sqref="C144 C146">
    <cfRule type="aboveAverage" dxfId="1376" priority="30"/>
  </conditionalFormatting>
  <conditionalFormatting sqref="C144 C146">
    <cfRule type="containsBlanks" dxfId="1375" priority="29">
      <formula>LEN(TRIM(C144))=0</formula>
    </cfRule>
  </conditionalFormatting>
  <conditionalFormatting sqref="C148 C150">
    <cfRule type="aboveAverage" dxfId="1374" priority="28"/>
  </conditionalFormatting>
  <conditionalFormatting sqref="C148 C150">
    <cfRule type="containsBlanks" dxfId="1373" priority="27">
      <formula>LEN(TRIM(C148))=0</formula>
    </cfRule>
  </conditionalFormatting>
  <conditionalFormatting sqref="C152 C154">
    <cfRule type="aboveAverage" dxfId="1372" priority="26"/>
  </conditionalFormatting>
  <conditionalFormatting sqref="C152 C154">
    <cfRule type="containsBlanks" dxfId="1371" priority="25">
      <formula>LEN(TRIM(C152))=0</formula>
    </cfRule>
  </conditionalFormatting>
  <conditionalFormatting sqref="G155 G157">
    <cfRule type="aboveAverage" dxfId="1370" priority="24"/>
  </conditionalFormatting>
  <conditionalFormatting sqref="G155 G157">
    <cfRule type="containsBlanks" dxfId="1369" priority="23">
      <formula>LEN(TRIM(G155))=0</formula>
    </cfRule>
  </conditionalFormatting>
  <conditionalFormatting sqref="G143 G151">
    <cfRule type="containsBlanks" dxfId="1368" priority="21">
      <formula>LEN(TRIM(G143))=0</formula>
    </cfRule>
    <cfRule type="aboveAverage" dxfId="1367" priority="22"/>
  </conditionalFormatting>
  <conditionalFormatting sqref="G162 G166">
    <cfRule type="containsBlanks" dxfId="1366" priority="19">
      <formula>LEN(TRIM(G162))=0</formula>
    </cfRule>
    <cfRule type="aboveAverage" dxfId="1365" priority="20"/>
  </conditionalFormatting>
  <conditionalFormatting sqref="E161 E163">
    <cfRule type="aboveAverage" dxfId="1364" priority="18"/>
  </conditionalFormatting>
  <conditionalFormatting sqref="E161 E163">
    <cfRule type="containsBlanks" dxfId="1363" priority="17">
      <formula>LEN(TRIM(E161))=0</formula>
    </cfRule>
  </conditionalFormatting>
  <conditionalFormatting sqref="E165 E167">
    <cfRule type="aboveAverage" dxfId="1362" priority="16"/>
  </conditionalFormatting>
  <conditionalFormatting sqref="E165 E167">
    <cfRule type="containsBlanks" dxfId="1361" priority="15">
      <formula>LEN(TRIM(E165))=0</formula>
    </cfRule>
  </conditionalFormatting>
  <conditionalFormatting sqref="G169 G171">
    <cfRule type="aboveAverage" dxfId="1360" priority="14"/>
  </conditionalFormatting>
  <conditionalFormatting sqref="G169 G171">
    <cfRule type="containsBlanks" dxfId="1359" priority="13">
      <formula>LEN(TRIM(G169))=0</formula>
    </cfRule>
  </conditionalFormatting>
  <conditionalFormatting sqref="A300:A325">
    <cfRule type="duplicateValues" dxfId="1358" priority="246"/>
  </conditionalFormatting>
  <conditionalFormatting sqref="B300:B325">
    <cfRule type="expression" dxfId="1357" priority="247">
      <formula>A300=3</formula>
    </cfRule>
    <cfRule type="expression" dxfId="1356" priority="248">
      <formula>A300=2</formula>
    </cfRule>
    <cfRule type="expression" dxfId="1355" priority="249">
      <formula>A300=1</formula>
    </cfRule>
    <cfRule type="containsBlanks" dxfId="1354" priority="250">
      <formula>LEN(TRIM(B300))=0</formula>
    </cfRule>
    <cfRule type="duplicateValues" dxfId="1353" priority="251"/>
  </conditionalFormatting>
  <conditionalFormatting sqref="AE7:AE32">
    <cfRule type="expression" dxfId="1352" priority="1">
      <formula>AND(AF7="",COUNTIF(AE7,"*,*")=0)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BG63"/>
  <sheetViews>
    <sheetView showGridLines="0" showRowColHeaders="0" zoomScaleNormal="100" workbookViewId="0">
      <pane ySplit="6" topLeftCell="A7" activePane="bottomLeft" state="frozen"/>
      <selection pane="bottomLeft" activeCell="AB1" sqref="AB1"/>
    </sheetView>
  </sheetViews>
  <sheetFormatPr defaultRowHeight="12.75" x14ac:dyDescent="0.2"/>
  <cols>
    <col min="1" max="1" width="4" customWidth="1"/>
    <col min="2" max="2" width="7.42578125" hidden="1" customWidth="1"/>
    <col min="3" max="3" width="5" hidden="1" customWidth="1"/>
    <col min="4" max="4" width="0" hidden="1" customWidth="1"/>
    <col min="5" max="5" width="3" hidden="1" customWidth="1"/>
    <col min="6" max="6" width="6.5703125" hidden="1" customWidth="1"/>
    <col min="7" max="7" width="3" customWidth="1"/>
    <col min="8" max="8" width="6.7109375" hidden="1" customWidth="1"/>
    <col min="9" max="9" width="3" customWidth="1"/>
    <col min="10" max="10" width="8.28515625" hidden="1" customWidth="1"/>
    <col min="11" max="11" width="3.7109375" customWidth="1"/>
    <col min="12" max="12" width="18.42578125" customWidth="1"/>
    <col min="13" max="17" width="3" hidden="1" customWidth="1"/>
    <col min="18" max="18" width="6" customWidth="1"/>
    <col min="19" max="19" width="23" hidden="1" customWidth="1"/>
    <col min="20" max="20" width="28.28515625" hidden="1" customWidth="1"/>
    <col min="21" max="21" width="9" hidden="1" customWidth="1"/>
    <col min="22" max="22" width="7.5703125" hidden="1" customWidth="1"/>
    <col min="23" max="23" width="32" hidden="1" customWidth="1"/>
    <col min="24" max="24" width="11.28515625" hidden="1" customWidth="1"/>
    <col min="25" max="25" width="9.140625" hidden="1" customWidth="1"/>
    <col min="26" max="35" width="3.7109375" customWidth="1"/>
    <col min="36" max="36" width="2" hidden="1" customWidth="1"/>
    <col min="37" max="37" width="4" hidden="1" customWidth="1"/>
    <col min="38" max="38" width="8" hidden="1" customWidth="1"/>
    <col min="39" max="39" width="5.42578125" hidden="1" customWidth="1"/>
    <col min="40" max="42" width="3.28515625" customWidth="1"/>
    <col min="44" max="47" width="0" hidden="1" customWidth="1"/>
    <col min="49" max="59" width="0" hidden="1" customWidth="1"/>
  </cols>
  <sheetData>
    <row r="1" spans="1:59" x14ac:dyDescent="0.2">
      <c r="A1" s="267"/>
      <c r="B1" s="268"/>
      <c r="C1" s="269"/>
      <c r="D1" s="269"/>
      <c r="E1" s="269"/>
      <c r="F1" s="269"/>
      <c r="G1" s="270"/>
      <c r="H1" s="269"/>
      <c r="I1" s="271" t="s">
        <v>450</v>
      </c>
      <c r="J1" s="269"/>
      <c r="K1" s="270"/>
      <c r="L1" s="267"/>
      <c r="M1" s="272"/>
      <c r="N1" s="272"/>
      <c r="O1" s="272"/>
      <c r="P1" s="273"/>
      <c r="Q1" s="273"/>
      <c r="R1" s="274"/>
      <c r="S1" s="272"/>
      <c r="T1" s="272"/>
      <c r="U1" s="272"/>
      <c r="V1" s="272"/>
      <c r="W1" s="272"/>
      <c r="X1" s="272"/>
      <c r="Y1" s="272"/>
      <c r="Z1" s="274"/>
      <c r="AA1" s="274"/>
      <c r="AB1" s="274"/>
      <c r="AC1" s="274"/>
      <c r="AD1" s="274"/>
      <c r="AE1" s="274"/>
      <c r="AF1" s="274" t="s">
        <v>164</v>
      </c>
      <c r="AG1" s="274"/>
      <c r="AH1" s="270"/>
      <c r="AI1" s="989" t="s">
        <v>69</v>
      </c>
      <c r="AJ1" s="275"/>
      <c r="AK1" s="275"/>
      <c r="AN1" s="276" t="s">
        <v>70</v>
      </c>
      <c r="AO1" s="276"/>
      <c r="AP1" s="277"/>
      <c r="AQ1" s="267"/>
      <c r="AW1" s="176" t="s">
        <v>68</v>
      </c>
      <c r="AX1" s="268"/>
      <c r="AY1" s="268"/>
      <c r="AZ1" s="268"/>
      <c r="BA1" s="268"/>
      <c r="BB1" s="268"/>
      <c r="BC1" s="268"/>
      <c r="BD1" s="268"/>
      <c r="BE1" s="268"/>
      <c r="BF1" s="268"/>
      <c r="BG1" s="268"/>
    </row>
    <row r="2" spans="1:59" x14ac:dyDescent="0.2">
      <c r="A2" s="267"/>
      <c r="B2" s="267"/>
      <c r="C2" s="270"/>
      <c r="D2" s="270"/>
      <c r="E2" s="270"/>
      <c r="F2" s="270"/>
      <c r="G2" s="270"/>
      <c r="H2" s="270"/>
      <c r="I2" s="278" t="s">
        <v>528</v>
      </c>
      <c r="J2" s="270"/>
      <c r="K2" s="270"/>
      <c r="L2" s="267"/>
      <c r="M2" s="274"/>
      <c r="N2" s="274"/>
      <c r="O2" s="274"/>
      <c r="P2" s="279"/>
      <c r="Q2" s="279"/>
      <c r="R2" s="274"/>
      <c r="S2" s="274"/>
      <c r="T2" s="274"/>
      <c r="U2" s="274"/>
      <c r="V2" s="274"/>
      <c r="W2" s="274"/>
      <c r="X2" s="274"/>
      <c r="Y2" s="274"/>
      <c r="Z2" s="274"/>
      <c r="AA2" s="274"/>
      <c r="AB2" s="274"/>
      <c r="AC2" s="274"/>
      <c r="AD2" s="274"/>
      <c r="AE2" s="274"/>
      <c r="AF2" s="274"/>
      <c r="AG2" s="280"/>
      <c r="AH2" s="280"/>
      <c r="AI2" s="280"/>
      <c r="AJ2" s="274"/>
      <c r="AK2" s="274"/>
      <c r="AL2" s="274"/>
      <c r="AM2" s="281"/>
      <c r="AN2" s="268" t="s">
        <v>71</v>
      </c>
      <c r="AO2" s="268"/>
      <c r="AP2" s="267"/>
      <c r="AQ2" s="267"/>
      <c r="AW2" s="267"/>
      <c r="AX2" s="267"/>
      <c r="AY2" s="267"/>
      <c r="AZ2" s="267"/>
      <c r="BA2" s="267"/>
      <c r="BB2" s="267"/>
      <c r="BC2" s="267"/>
      <c r="BD2" s="267"/>
      <c r="BE2" s="267"/>
      <c r="BF2" s="267"/>
      <c r="BG2" s="267"/>
    </row>
    <row r="3" spans="1:59" x14ac:dyDescent="0.2">
      <c r="A3" s="267"/>
      <c r="B3" s="267"/>
      <c r="C3" s="270"/>
      <c r="D3" s="270"/>
      <c r="E3" s="270"/>
      <c r="F3" s="270"/>
      <c r="G3" s="270"/>
      <c r="H3" s="270"/>
      <c r="I3" s="282" t="s">
        <v>165</v>
      </c>
      <c r="J3" s="270"/>
      <c r="K3" s="270"/>
      <c r="L3" s="267"/>
      <c r="M3" s="274"/>
      <c r="N3" s="274"/>
      <c r="O3" s="274"/>
      <c r="P3" s="279"/>
      <c r="Q3" s="279"/>
      <c r="R3" s="274"/>
      <c r="S3" s="274"/>
      <c r="T3" s="274"/>
      <c r="U3" s="274"/>
      <c r="V3" s="274"/>
      <c r="W3" s="274"/>
      <c r="X3" s="274"/>
      <c r="Y3" s="274"/>
      <c r="Z3" s="274"/>
      <c r="AA3" s="274"/>
      <c r="AB3" s="274"/>
      <c r="AC3" s="274"/>
      <c r="AD3" s="274"/>
      <c r="AE3" s="274"/>
      <c r="AF3" s="274"/>
      <c r="AG3" s="274"/>
      <c r="AH3" s="274"/>
      <c r="AI3" s="274"/>
      <c r="AJ3" s="274"/>
      <c r="AK3" s="274"/>
      <c r="AL3" s="274"/>
      <c r="AM3" s="25"/>
      <c r="AN3" s="283" t="s">
        <v>72</v>
      </c>
      <c r="AO3" s="283"/>
      <c r="AP3" s="267"/>
      <c r="AQ3" s="267"/>
      <c r="AW3" s="284">
        <v>1</v>
      </c>
      <c r="AX3" s="285" t="s">
        <v>166</v>
      </c>
      <c r="AY3" s="286"/>
      <c r="AZ3" s="286"/>
      <c r="BA3" s="286"/>
      <c r="BB3" s="267"/>
      <c r="BC3" s="267"/>
      <c r="BD3" s="267"/>
      <c r="BE3" s="267"/>
      <c r="BF3" s="267"/>
      <c r="BG3" s="267"/>
    </row>
    <row r="4" spans="1:59" ht="30" x14ac:dyDescent="0.2">
      <c r="A4" s="287"/>
      <c r="B4" s="287"/>
      <c r="C4" s="287"/>
      <c r="D4" s="287"/>
      <c r="E4" s="287"/>
      <c r="F4" s="287"/>
      <c r="G4" s="287"/>
      <c r="H4" s="287"/>
      <c r="I4" s="287"/>
      <c r="J4" s="287"/>
      <c r="K4" s="287"/>
      <c r="L4" s="287"/>
      <c r="M4" s="287"/>
      <c r="N4" s="287"/>
      <c r="O4" s="287"/>
      <c r="P4" s="287"/>
      <c r="Q4" s="287"/>
      <c r="R4" s="287"/>
      <c r="S4" s="288" t="s">
        <v>167</v>
      </c>
      <c r="T4" s="288"/>
      <c r="U4" s="289" t="s">
        <v>168</v>
      </c>
      <c r="V4" s="288" t="s">
        <v>169</v>
      </c>
      <c r="W4" s="288" t="s">
        <v>170</v>
      </c>
      <c r="X4" s="288"/>
      <c r="Y4" s="290" t="s">
        <v>171</v>
      </c>
      <c r="Z4" s="291" t="str">
        <f>MID(Kalend!$A5,4,5)</f>
        <v>08.05</v>
      </c>
      <c r="AA4" s="291" t="str">
        <f>MID(Kalend!$A8,4,5)</f>
        <v>19.05</v>
      </c>
      <c r="AB4" s="291" t="str">
        <f>MID(Kalend!$A12,4,5)</f>
        <v>02.06</v>
      </c>
      <c r="AC4" s="291" t="str">
        <f>MID(Kalend!$A17,4,5)</f>
        <v>16.06</v>
      </c>
      <c r="AD4" s="291" t="str">
        <f>MID(Kalend!$A23,4,5)</f>
        <v>30.06</v>
      </c>
      <c r="AE4" s="291" t="str">
        <f>MID(Kalend!$A25,4,5)</f>
        <v>07.07</v>
      </c>
      <c r="AF4" s="291" t="str">
        <f>MID(Kalend!$A27,4,5)</f>
        <v>14.07</v>
      </c>
      <c r="AG4" s="291" t="str">
        <f>MID(Kalend!$A32,4,5)</f>
        <v>28.07</v>
      </c>
      <c r="AH4" s="291" t="str">
        <f>MID(Kalend!$A35,4,5)</f>
        <v>11.08</v>
      </c>
      <c r="AI4" s="291" t="str">
        <f>MID(Kalend!$A36,4,5)</f>
        <v>25.08</v>
      </c>
      <c r="AJ4" s="292"/>
      <c r="AK4" s="293"/>
      <c r="AL4" s="294" t="s">
        <v>25</v>
      </c>
      <c r="AM4" s="295" t="str">
        <f>MID(Kalend!$A43,4,5)</f>
        <v>oober</v>
      </c>
      <c r="AN4" s="998" t="s">
        <v>82</v>
      </c>
      <c r="AO4" s="999" t="s">
        <v>83</v>
      </c>
      <c r="AP4" s="1000" t="s">
        <v>84</v>
      </c>
      <c r="AQ4" s="267"/>
      <c r="AW4" s="267"/>
      <c r="AZ4" s="267"/>
      <c r="BA4" s="267"/>
      <c r="BB4" s="267"/>
      <c r="BC4" s="267"/>
      <c r="BD4" s="267"/>
      <c r="BE4" s="267"/>
      <c r="BF4" s="267"/>
      <c r="BG4" s="267"/>
    </row>
    <row r="5" spans="1:59" x14ac:dyDescent="0.2">
      <c r="A5" s="296" t="s">
        <v>25</v>
      </c>
      <c r="B5" s="297"/>
      <c r="C5" s="297"/>
      <c r="D5" s="297"/>
      <c r="E5" s="298" t="s">
        <v>25</v>
      </c>
      <c r="F5" s="297"/>
      <c r="G5" s="298" t="s">
        <v>25</v>
      </c>
      <c r="H5" s="297"/>
      <c r="I5" s="298"/>
      <c r="J5" s="297"/>
      <c r="K5" s="299" t="s">
        <v>85</v>
      </c>
      <c r="L5" s="300"/>
      <c r="M5" s="301" t="s">
        <v>25</v>
      </c>
      <c r="N5" s="301" t="s">
        <v>25</v>
      </c>
      <c r="O5" s="301" t="s">
        <v>25</v>
      </c>
      <c r="P5" s="301" t="s">
        <v>25</v>
      </c>
      <c r="Q5" s="301" t="s">
        <v>25</v>
      </c>
      <c r="R5" s="302" t="s">
        <v>86</v>
      </c>
      <c r="S5" s="303" t="s">
        <v>172</v>
      </c>
      <c r="T5" s="304"/>
      <c r="U5" s="305" t="s">
        <v>173</v>
      </c>
      <c r="V5" s="306"/>
      <c r="W5" s="306"/>
      <c r="X5" s="306"/>
      <c r="Y5" s="307" t="s">
        <v>174</v>
      </c>
      <c r="Z5" s="308" t="s">
        <v>88</v>
      </c>
      <c r="AA5" s="308" t="s">
        <v>88</v>
      </c>
      <c r="AB5" s="308" t="s">
        <v>88</v>
      </c>
      <c r="AC5" s="308" t="s">
        <v>88</v>
      </c>
      <c r="AD5" s="308" t="s">
        <v>88</v>
      </c>
      <c r="AE5" s="308" t="s">
        <v>88</v>
      </c>
      <c r="AF5" s="308" t="s">
        <v>88</v>
      </c>
      <c r="AG5" s="308" t="s">
        <v>88</v>
      </c>
      <c r="AH5" s="308" t="s">
        <v>88</v>
      </c>
      <c r="AI5" s="308" t="s">
        <v>88</v>
      </c>
      <c r="AJ5" s="309"/>
      <c r="AK5" s="310"/>
      <c r="AL5" s="311" t="s">
        <v>175</v>
      </c>
      <c r="AM5" s="312" t="s">
        <v>89</v>
      </c>
      <c r="AN5" s="998"/>
      <c r="AO5" s="999"/>
      <c r="AP5" s="1000"/>
      <c r="AQ5" s="267"/>
      <c r="AW5" s="267"/>
      <c r="AX5" s="267"/>
      <c r="AY5" s="267"/>
      <c r="AZ5" s="267"/>
      <c r="BA5" s="267"/>
      <c r="BB5" s="267"/>
      <c r="BC5" s="267"/>
      <c r="BD5" s="267"/>
      <c r="BE5" s="267"/>
      <c r="BF5" s="267"/>
      <c r="BG5" s="267"/>
    </row>
    <row r="6" spans="1:59" x14ac:dyDescent="0.2">
      <c r="A6" s="313" t="s">
        <v>176</v>
      </c>
      <c r="B6" s="314" t="s">
        <v>176</v>
      </c>
      <c r="C6" s="315" t="s">
        <v>177</v>
      </c>
      <c r="D6" s="314" t="s">
        <v>178</v>
      </c>
      <c r="E6" s="316" t="s">
        <v>179</v>
      </c>
      <c r="F6" s="314" t="s">
        <v>180</v>
      </c>
      <c r="G6" s="317" t="s">
        <v>90</v>
      </c>
      <c r="H6" s="314" t="s">
        <v>181</v>
      </c>
      <c r="I6" s="318" t="s">
        <v>91</v>
      </c>
      <c r="J6" s="314" t="s">
        <v>182</v>
      </c>
      <c r="K6" s="319" t="s">
        <v>92</v>
      </c>
      <c r="L6" s="320" t="s">
        <v>93</v>
      </c>
      <c r="M6" s="321" t="s">
        <v>90</v>
      </c>
      <c r="N6" s="322" t="s">
        <v>179</v>
      </c>
      <c r="O6" s="323" t="s">
        <v>91</v>
      </c>
      <c r="P6" s="324" t="s">
        <v>94</v>
      </c>
      <c r="Q6" s="325" t="s">
        <v>183</v>
      </c>
      <c r="R6" s="326" t="s">
        <v>94</v>
      </c>
      <c r="S6" s="327" t="s">
        <v>184</v>
      </c>
      <c r="T6" s="327" t="s">
        <v>96</v>
      </c>
      <c r="U6" s="327" t="s">
        <v>185</v>
      </c>
      <c r="V6" s="328" t="s">
        <v>186</v>
      </c>
      <c r="W6" s="327" t="s">
        <v>99</v>
      </c>
      <c r="X6" s="327" t="s">
        <v>187</v>
      </c>
      <c r="Y6" s="327" t="s">
        <v>188</v>
      </c>
      <c r="Z6" s="309" t="str">
        <f>HYPERLINK("#V1!N1","V1")</f>
        <v>V1</v>
      </c>
      <c r="AA6" s="329" t="str">
        <f>HYPERLINK("#V2!N1","V2")</f>
        <v>V2</v>
      </c>
      <c r="AB6" s="309" t="str">
        <f>HYPERLINK("#V3!N1","V3")</f>
        <v>V3</v>
      </c>
      <c r="AC6" s="329" t="str">
        <f>HYPERLINK("#V4!N1","V4")</f>
        <v>V4</v>
      </c>
      <c r="AD6" s="329" t="str">
        <f>HYPERLINK("#V5!N1","V5")</f>
        <v>V5</v>
      </c>
      <c r="AE6" s="329" t="str">
        <f>HYPERLINK("#V6!N1","V6")</f>
        <v>V6</v>
      </c>
      <c r="AF6" s="309" t="str">
        <f>HYPERLINK("#V7!N1","V7")</f>
        <v>V7</v>
      </c>
      <c r="AG6" s="329" t="str">
        <f>HYPERLINK("#V8!N1","V8")</f>
        <v>V8</v>
      </c>
      <c r="AH6" s="329" t="str">
        <f>HYPERLINK("#V9!N1","V9")</f>
        <v>V9</v>
      </c>
      <c r="AI6" s="329" t="str">
        <f>HYPERLINK("#V10!N1","V10")</f>
        <v>V10</v>
      </c>
      <c r="AJ6" s="330"/>
      <c r="AK6" s="331"/>
      <c r="AL6" s="332" t="s">
        <v>189</v>
      </c>
      <c r="AM6" s="333" t="str">
        <f>HYPERLINK("#'V-Fin'!J1","V-Fin")</f>
        <v>V-Fin</v>
      </c>
      <c r="AN6" s="334"/>
      <c r="AO6" s="335"/>
      <c r="AP6" s="336"/>
      <c r="AQ6" s="267"/>
      <c r="AW6" s="267"/>
      <c r="AX6" s="267"/>
      <c r="AY6" s="267"/>
      <c r="AZ6" s="267"/>
      <c r="BA6" s="267"/>
      <c r="BB6" s="267"/>
      <c r="BC6" s="267"/>
      <c r="BD6" s="267"/>
      <c r="BE6" s="267"/>
      <c r="BF6" s="267"/>
      <c r="BG6" s="267"/>
    </row>
    <row r="7" spans="1:59" x14ac:dyDescent="0.2">
      <c r="A7" s="337">
        <f t="shared" ref="A7:A38" si="0">IF(R7&gt;0,IF(Q7="v",RANK(B7,B$7:B$58,1)-COUNTBLANK(Q$7:Q$58),""),"")</f>
        <v>1</v>
      </c>
      <c r="B7" s="338">
        <f t="shared" ref="B7:B38" si="1">IF((Q7="v"),U7,U7-1000)</f>
        <v>1</v>
      </c>
      <c r="C7" s="339">
        <f t="shared" ref="C7:C36" si="2">IF(R7&gt;0,IF(P7="k",RANK(D7,D$7:D$58,1)-COUNTBLANK(P$7:P$58),""),"")</f>
        <v>1</v>
      </c>
      <c r="D7" s="338">
        <f t="shared" ref="D7:D38" si="3">IF((P7="k"),U7,U7-1000)</f>
        <v>1</v>
      </c>
      <c r="E7" s="340">
        <f t="shared" ref="E7:E38" si="4">IF(R7&gt;0,IF(N7="m",RANK(F7,F$7:F$58,1)-COUNTBLANK(N$7:N$58),""),"")</f>
        <v>1</v>
      </c>
      <c r="F7" s="338">
        <f t="shared" ref="F7:F38" si="5">IF((N7="m"),U7,U7-1000)</f>
        <v>1</v>
      </c>
      <c r="G7" s="341" t="str">
        <f t="shared" ref="G7:G38" si="6">IF(R7&gt;0,IF(M7="n",RANK(H7,H$7:H$58,1)-COUNTBLANK(M$7:M$58),""),"")</f>
        <v/>
      </c>
      <c r="H7" s="338">
        <f t="shared" ref="H7:H38" si="7">IF((M7="n"),U7,U7-1000)</f>
        <v>-999</v>
      </c>
      <c r="I7" s="342" t="str">
        <f t="shared" ref="I7:I38" si="8">IF(R7&gt;0,IF(O7="j",RANK(J7,J$7:J$58,1)-COUNTBLANK(O$7:O$58),""),"")</f>
        <v/>
      </c>
      <c r="J7" s="343">
        <f t="shared" ref="J7:J38" si="9">IF((O7="j"),U7,U7-1000)</f>
        <v>-999</v>
      </c>
      <c r="K7" s="302">
        <f t="shared" ref="K7:K38" si="10">IF(R7&gt;0,RANK(U7,U$7:U$58,1),"")</f>
        <v>1</v>
      </c>
      <c r="L7" s="361" t="s">
        <v>110</v>
      </c>
      <c r="M7" s="345"/>
      <c r="N7" s="346" t="str">
        <f>IF(M7="","m","")</f>
        <v>m</v>
      </c>
      <c r="O7" s="347"/>
      <c r="P7" s="348" t="s">
        <v>191</v>
      </c>
      <c r="Q7" s="349" t="s">
        <v>190</v>
      </c>
      <c r="R7" s="350">
        <f>(IF(COUNT(Z7,AA7,AB7,AC7,AD7,AE7,AF7,AG7,AH7,AI7)&lt;9,SUM(Z7,AA7,AB7,AC7,AD7,AE7,AF7,AG7,AH7,AI7),SUM(LARGE((Z7,AA7,AB7,AC7,AD7,AE7,AF7,AG7,AH7,AI7),{1;2;3;4;5;6;7;8;9}))))</f>
        <v>160</v>
      </c>
      <c r="S7" s="351" t="str">
        <f>INDEX(ETAPP!B$1:B$32,MATCH(COUNTIF(Z7:AI7,PVO!A$1),ETAPP!A$1:A$32,0))&amp;INDEX(ETAPP!B$1:B$32,MATCH(COUNTIF(Z7:AI7,PVO!A$2),ETAPP!A$1:A$32,0))&amp;INDEX(ETAPP!B$1:B$32,MATCH(COUNTIF(Z7:AI7,PVO!A$3),ETAPP!A$1:A$32,0))&amp;INDEX(ETAPP!B$1:B$32,MATCH(COUNTIF(Z7:AI7,PVO!A$4),ETAPP!A$1:A$32,0))&amp;INDEX(ETAPP!B$1:B$32,MATCH(COUNTIF(Z7:AI7,PVO!A$5),ETAPP!A$1:A$32,0))&amp;INDEX(ETAPP!B$1:B$32,MATCH(COUNTIF(Z7:AI7,PVO!A$6),ETAPP!A$1:A$32,0))&amp;INDEX(ETAPP!B$1:B$32,MATCH(COUNTIF(Z7:AI7,PVO!A$7),ETAPP!A$1:A$32,0))&amp;INDEX(ETAPP!B$1:B$32,MATCH(COUNTIF(Z7:AI7,PVO!A$8),ETAPP!A$1:A$32,0))&amp;INDEX(ETAPP!B$1:B$32,MATCH(COUNTIF(Z7:AI7,PVO!A$9),ETAPP!A$1:A$32,0))&amp;INDEX(ETAPP!B$1:B$32,MATCH(COUNTIF(Z7:AI7,PVO!A$10),ETAPP!A$1:A$32,0))&amp;INDEX(ETAPP!B$1:B$32,MATCH(COUNTIF(Z7:AI7,PVO!A$11),ETAPP!A$1:A$32,0))&amp;INDEX(ETAPP!B$1:B$32,MATCH(COUNTIF(Z7:AI7,PVO!A$12),ETAPP!A$1:A$32,0))&amp;INDEX(ETAPP!B$1:B$32,MATCH(COUNTIF(Z7:AI7,PVO!A$13),ETAPP!A$1:A$32,0))&amp;INDEX(ETAPP!B$1:B$32,MATCH(COUNTIF(Z7:AI7,PVO!A$14),ETAPP!A$1:A$32,0))&amp;INDEX(ETAPP!B$1:B$32,MATCH(COUNTIF(Z7:AI7,PVO!A$15),ETAPP!A$1:A$32,0))&amp;INDEX(ETAPP!B$1:B$32,MATCH(COUNTIF(Z7:AI7,PVO!A$16),ETAPP!A$1:A$32,0))&amp;INDEX(ETAPP!B$1:B$32,MATCH(COUNTIF(Z7:AI7,PVO!A$17),ETAPP!A$1:A$32,0))&amp;INDEX(ETAPP!B$1:B$32,MATCH(COUNTIF(Z7:AI7,PVO!A$18),ETAPP!A$1:A$32,0))&amp;INDEX(ETAPP!B$1:B$32,MATCH(COUNTIF(Z7:AI7,PVO!A$19),ETAPP!A$1:A$32,0))</f>
        <v>BCA0AAB000000000000</v>
      </c>
      <c r="T7" s="351" t="str">
        <f t="shared" ref="T7:T38" si="11">TEXT(R7,"000,0")&amp;"-"&amp;S7</f>
        <v>160,0-BCA0AAB000000000000</v>
      </c>
      <c r="U7" s="351">
        <f t="shared" ref="U7:U38" si="12">COUNTIF(T$7:T$58,"&gt;="&amp;T7)</f>
        <v>1</v>
      </c>
      <c r="V7" s="351">
        <f t="shared" ref="V7:V38" si="13">COUNTIF(L$7:L$58,"&gt;="&amp;L7)</f>
        <v>32</v>
      </c>
      <c r="W7" s="351" t="str">
        <f t="shared" ref="W7:W38" si="14">TEXT(R7,"000,0")&amp;"-"&amp;S7&amp;"-"&amp;TEXT(V7,"000")</f>
        <v>160,0-BCA0AAB000000000000-032</v>
      </c>
      <c r="X7" s="351">
        <f t="shared" ref="X7:X38" si="15">COUNTIF(W$7:W$58,"&gt;="&amp;W7)</f>
        <v>1</v>
      </c>
      <c r="Y7" s="352">
        <f t="shared" ref="Y7:Y38" si="16">RANK(X7,X$7:X$58,0)</f>
        <v>52</v>
      </c>
      <c r="Z7" s="353">
        <f>IFERROR(INDEX('V1'!C$300:C$400,MATCH("*"&amp;L7&amp;"*",'V1'!B$300:B$400,0)),"  ")</f>
        <v>14</v>
      </c>
      <c r="AA7" s="353">
        <f>IFERROR(INDEX('V2'!C$300:C$395,MATCH("*"&amp;L7&amp;"*",'V2'!B$300:B$395,0)),"  ")</f>
        <v>19</v>
      </c>
      <c r="AB7" s="353">
        <f>IFERROR(INDEX('V3'!C$300:C$400,MATCH("*"&amp;L7&amp;"*",'V3'!B$300:B$400,0)),"  ")</f>
        <v>16</v>
      </c>
      <c r="AC7" s="353">
        <f>IFERROR(INDEX('V4'!C$300:C$400,MATCH("*"&amp;L7&amp;"*",'V4'!B$300:B$400,0)),"  ")</f>
        <v>15</v>
      </c>
      <c r="AD7" s="353">
        <f>IFERROR(INDEX('V5'!C$300:C$400,MATCH("*"&amp;L7&amp;"*",'V5'!B$300:B$400,0)),"  ")</f>
        <v>14</v>
      </c>
      <c r="AE7" s="353">
        <f>IFERROR(INDEX('V6'!C$300:C$400,MATCH("*"&amp;L7&amp;"*",'V6'!B$300:B$400,0)),"  ")</f>
        <v>19</v>
      </c>
      <c r="AF7" s="353">
        <f>IFERROR(INDEX('V7'!C$300:C$400,MATCH("*"&amp;L7&amp;"*",'V7'!B$300:B$400,0)),"  ")</f>
        <v>18</v>
      </c>
      <c r="AG7" s="353">
        <f>IFERROR(INDEX('V8'!C$300:C$400,MATCH("*"&amp;L7&amp;"*",'V8'!B$300:B$400,0)),"  ")</f>
        <v>19</v>
      </c>
      <c r="AH7" s="353">
        <f>IFERROR(INDEX('V9'!C$300:C$400,MATCH("*"&amp;L7&amp;"*",'V9'!B$300:B$400,0)),"  ")</f>
        <v>20</v>
      </c>
      <c r="AI7" s="353">
        <f>IFERROR(INDEX('V10'!C$300:C$400,MATCH("*"&amp;L7&amp;"*",'V10'!B$300:B$400,0)),"  ")</f>
        <v>20</v>
      </c>
      <c r="AJ7" s="354">
        <f t="shared" ref="AJ7:AJ38" si="17">IF(COUNTIF(Z7:AI7,"&gt;0")&gt;=3,1,0)</f>
        <v>1</v>
      </c>
      <c r="AK7" s="354">
        <f t="shared" ref="AK7:AK38" si="18">IF(AJ7=1,Y7,"")</f>
        <v>52</v>
      </c>
      <c r="AL7" s="355" t="str">
        <f t="shared" ref="AL7:AL38" si="19">IFERROR("edasi "&amp;RANK(AK7,AK$7:AK$58,0),K7)</f>
        <v>edasi 1</v>
      </c>
      <c r="AM7" s="356" t="str">
        <f>IFERROR(INDEX(#REF!,MATCH("*"&amp;L7&amp;"*",#REF!,0)),"  ")</f>
        <v xml:space="preserve">  </v>
      </c>
      <c r="AN7" s="357">
        <f t="shared" ref="AN7:AN38" si="20">COUNTIF(Z7:AI7,"&gt;=0")</f>
        <v>10</v>
      </c>
      <c r="AO7" s="358">
        <f t="shared" ref="AO7:AO38" si="21">IFERROR(IF(Z7+1&gt;LARGE(Z$7:Z$58,1)-2,1),0)+IFERROR(IF(AA7+1&gt;LARGE(AA$7:AA$58,1)-2,1),0)+IFERROR(IF(AB7+1&gt;LARGE(AB$7:AB$58,1)-2,1),0)+IFERROR(IF(AC7+1&gt;LARGE(AC$7:AC$58,1)-2,1),0)+IFERROR(IF(AD7+1&gt;LARGE(AD$7:AD$58,1)-2,1),0)+IFERROR(IF(AE7+1&gt;LARGE(AE$7:AE$58,1)-2,1),0)+IFERROR(IF(AF7+1&gt;LARGE(AF$7:AF$58,1)-2,1),0)+IFERROR(IF(AG7+1&gt;LARGE(AG$7:AG$58,1)-2,1),0)+IFERROR(IF(AH7+1&gt;LARGE(AH$7:AH$58,1)-2,1),0)+IFERROR(IF(AI7+1&gt;LARGE(AI$7:AI$58,1)-2,1),0)</f>
        <v>6</v>
      </c>
      <c r="AP7" s="358">
        <f t="shared" ref="AP7:AP38" si="22">IF(Z7=0,0,IF(Z7=IFERROR(LARGE(Z$7:Z$58,1),0),1,0))+IF(AA7=0,0,IF(AA7=IFERROR(LARGE(AA$7:AA$58,1),0),1,0))+IF(AB7=0,0,IF(AB7=IFERROR(LARGE(AB$7:AB$58,1),0),1,0))+IF(AC7=0,0,IF(AC7=IFERROR(LARGE(AC$7:AC$58,1),0),1,0))+IF(AD7=0,0,IF(AD7=IFERROR(LARGE(AD$7:AD$58,1),0),1,0))+IF(AE7=0,0,IF(AE7=IFERROR(LARGE(AE$7:AE$58,1),0),1,0))+IF(AF7=0,0,IF(AF7=IFERROR(LARGE(AF$7:AF$58,1),0),1,0))+IF(AG7=0,0,IF(AG7=IFERROR(LARGE(AG$7:AG$58,1),0),1,0))+IF(AH7=0,0,IF(AH7=IFERROR(LARGE(AH$7:AH$58,1),0),1,0))+IF(AI7=0,0,IF(AI7=IFERROR(LARGE(AI$7:AI$58,1),0),1,0))</f>
        <v>2</v>
      </c>
      <c r="AQ7" s="267"/>
      <c r="AR7" s="359"/>
      <c r="AS7" s="360"/>
      <c r="AT7" s="360"/>
      <c r="AU7" s="360"/>
      <c r="AV7" s="360"/>
      <c r="AW7" s="359">
        <f t="shared" ref="AW7:AW38" si="23">SMALL(AX7:BG7,AW$3)</f>
        <v>14.0001</v>
      </c>
      <c r="AX7" s="360">
        <f t="shared" ref="AX7:AX38" si="24">IF(Z7="  ",0+MID(Z$6,FIND("V",Z$6)+1,256)/10000,Z7+MID(Z$6,FIND("V",Z$6)+1,256)/10000)</f>
        <v>14.0001</v>
      </c>
      <c r="AY7" s="360">
        <f t="shared" ref="AY7:AY38" si="25">IF(AA7="  ",0+MID(AA$6,FIND("V",AA$6)+1,256)/10000,AA7+MID(AA$6,FIND("V",AA$6)+1,256)/10000)</f>
        <v>19.0002</v>
      </c>
      <c r="AZ7" s="360">
        <f t="shared" ref="AZ7:AZ38" si="26">IF(AB7="  ",0+MID(AB$6,FIND("V",AB$6)+1,256)/10000,AB7+MID(AB$6,FIND("V",AB$6)+1,256)/10000)</f>
        <v>16.000299999999999</v>
      </c>
      <c r="BA7" s="360">
        <f t="shared" ref="BA7:BA38" si="27">IF(AC7="  ",0+MID(AC$6,FIND("V",AC$6)+1,256)/10000,AC7+MID(AC$6,FIND("V",AC$6)+1,256)/10000)</f>
        <v>15.000400000000001</v>
      </c>
      <c r="BB7" s="360">
        <f t="shared" ref="BB7:BB38" si="28">IF(AD7="  ",0+MID(AD$6,FIND("V",AD$6)+1,256)/10000,AD7+MID(AD$6,FIND("V",AD$6)+1,256)/10000)</f>
        <v>14.000500000000001</v>
      </c>
      <c r="BC7" s="360">
        <f t="shared" ref="BC7:BC38" si="29">IF(AE7="  ",0+MID(AE$6,FIND("V",AE$6)+1,256)/10000,AE7+MID(AE$6,FIND("V",AE$6)+1,256)/10000)</f>
        <v>19.000599999999999</v>
      </c>
      <c r="BD7" s="360">
        <f t="shared" ref="BD7:BD38" si="30">IF(AF7="  ",0+MID(AF$6,FIND("V",AF$6)+1,256)/10000,AF7+MID(AF$6,FIND("V",AF$6)+1,256)/10000)</f>
        <v>18.000699999999998</v>
      </c>
      <c r="BE7" s="360">
        <f t="shared" ref="BE7:BE38" si="31">IF(AG7="  ",0+MID(AG$6,FIND("V",AG$6)+1,256)/10000,AG7+MID(AG$6,FIND("V",AG$6)+1,256)/10000)</f>
        <v>19.000800000000002</v>
      </c>
      <c r="BF7" s="360">
        <f t="shared" ref="BF7:BF38" si="32">IF(AH7="  ",0+MID(AH$6,FIND("V",AH$6)+1,256)/10000,AH7+MID(AH$6,FIND("V",AH$6)+1,256)/10000)</f>
        <v>20.000900000000001</v>
      </c>
      <c r="BG7" s="360">
        <f t="shared" ref="BG7:BG38" si="33">IF(AI7="  ",0+MID(AI$6,FIND("V",AI$6)+1,256)/10000,AI7+MID(AI$6,FIND("V",AI$6)+1,256)/10000)</f>
        <v>20.001000000000001</v>
      </c>
    </row>
    <row r="8" spans="1:59" x14ac:dyDescent="0.2">
      <c r="A8" s="337" t="str">
        <f t="shared" si="0"/>
        <v/>
      </c>
      <c r="B8" s="338">
        <f t="shared" si="1"/>
        <v>-998</v>
      </c>
      <c r="C8" s="339">
        <f t="shared" si="2"/>
        <v>2</v>
      </c>
      <c r="D8" s="338">
        <f t="shared" si="3"/>
        <v>2</v>
      </c>
      <c r="E8" s="340">
        <f t="shared" si="4"/>
        <v>2</v>
      </c>
      <c r="F8" s="338">
        <f t="shared" si="5"/>
        <v>2</v>
      </c>
      <c r="G8" s="341" t="str">
        <f t="shared" si="6"/>
        <v/>
      </c>
      <c r="H8" s="338">
        <f t="shared" si="7"/>
        <v>-998</v>
      </c>
      <c r="I8" s="342" t="str">
        <f t="shared" si="8"/>
        <v/>
      </c>
      <c r="J8" s="343">
        <f t="shared" si="9"/>
        <v>-998</v>
      </c>
      <c r="K8" s="302">
        <f t="shared" si="10"/>
        <v>2</v>
      </c>
      <c r="L8" s="344" t="s">
        <v>141</v>
      </c>
      <c r="M8" s="345"/>
      <c r="N8" s="346" t="str">
        <f>IF(M8="","m","")</f>
        <v>m</v>
      </c>
      <c r="O8" s="347"/>
      <c r="P8" s="348" t="s">
        <v>191</v>
      </c>
      <c r="Q8" s="349"/>
      <c r="R8" s="350">
        <f>(IF(COUNT(Z8,AA8,AB8,AC8,AD8,AE8,AF8,AG8,AH8,AI8)&lt;9,SUM(Z8,AA8,AB8,AC8,AD8,AE8,AF8,AG8,AH8,AI8),SUM(LARGE((Z8,AA8,AB8,AC8,AD8,AE8,AF8,AG8,AH8,AI8),{1;2;3;4;5;6;7;8;9}))))</f>
        <v>159</v>
      </c>
      <c r="S8" s="351" t="str">
        <f>INDEX(ETAPP!B$1:B$32,MATCH(COUNTIF(Z8:AI8,PVO!A$1),ETAPP!A$1:A$32,0))&amp;INDEX(ETAPP!B$1:B$32,MATCH(COUNTIF(Z8:AI8,PVO!A$2),ETAPP!A$1:A$32,0))&amp;INDEX(ETAPP!B$1:B$32,MATCH(COUNTIF(Z8:AI8,PVO!A$3),ETAPP!A$1:A$32,0))&amp;INDEX(ETAPP!B$1:B$32,MATCH(COUNTIF(Z8:AI8,PVO!A$4),ETAPP!A$1:A$32,0))&amp;INDEX(ETAPP!B$1:B$32,MATCH(COUNTIF(Z8:AI8,PVO!A$5),ETAPP!A$1:A$32,0))&amp;INDEX(ETAPP!B$1:B$32,MATCH(COUNTIF(Z8:AI8,PVO!A$6),ETAPP!A$1:A$32,0))&amp;INDEX(ETAPP!B$1:B$32,MATCH(COUNTIF(Z8:AI8,PVO!A$7),ETAPP!A$1:A$32,0))&amp;INDEX(ETAPP!B$1:B$32,MATCH(COUNTIF(Z8:AI8,PVO!A$8),ETAPP!A$1:A$32,0))&amp;INDEX(ETAPP!B$1:B$32,MATCH(COUNTIF(Z8:AI8,PVO!A$9),ETAPP!A$1:A$32,0))&amp;INDEX(ETAPP!B$1:B$32,MATCH(COUNTIF(Z8:AI8,PVO!A$10),ETAPP!A$1:A$32,0))&amp;INDEX(ETAPP!B$1:B$32,MATCH(COUNTIF(Z8:AI8,PVO!A$11),ETAPP!A$1:A$32,0))&amp;INDEX(ETAPP!B$1:B$32,MATCH(COUNTIF(Z8:AI8,PVO!A$12),ETAPP!A$1:A$32,0))&amp;INDEX(ETAPP!B$1:B$32,MATCH(COUNTIF(Z8:AI8,PVO!A$13),ETAPP!A$1:A$32,0))&amp;INDEX(ETAPP!B$1:B$32,MATCH(COUNTIF(Z8:AI8,PVO!A$14),ETAPP!A$1:A$32,0))&amp;INDEX(ETAPP!B$1:B$32,MATCH(COUNTIF(Z8:AI8,PVO!A$15),ETAPP!A$1:A$32,0))&amp;INDEX(ETAPP!B$1:B$32,MATCH(COUNTIF(Z8:AI8,PVO!A$16),ETAPP!A$1:A$32,0))&amp;INDEX(ETAPP!B$1:B$32,MATCH(COUNTIF(Z8:AI8,PVO!A$17),ETAPP!A$1:A$32,0))&amp;INDEX(ETAPP!B$1:B$32,MATCH(COUNTIF(Z8:AI8,PVO!A$18),ETAPP!A$1:A$32,0))&amp;INDEX(ETAPP!B$1:B$32,MATCH(COUNTIF(Z8:AI8,PVO!A$19),ETAPP!A$1:A$32,0))</f>
        <v>CAAAB00AA0000000000</v>
      </c>
      <c r="T8" s="351" t="str">
        <f t="shared" si="11"/>
        <v>159,0-CAAAB00AA0000000000</v>
      </c>
      <c r="U8" s="351">
        <f t="shared" si="12"/>
        <v>2</v>
      </c>
      <c r="V8" s="351">
        <f t="shared" si="13"/>
        <v>24</v>
      </c>
      <c r="W8" s="351" t="str">
        <f t="shared" si="14"/>
        <v>159,0-CAAAB00AA0000000000-024</v>
      </c>
      <c r="X8" s="351">
        <f t="shared" si="15"/>
        <v>2</v>
      </c>
      <c r="Y8" s="352">
        <f t="shared" si="16"/>
        <v>51</v>
      </c>
      <c r="Z8" s="353">
        <f>IFERROR(INDEX('V1'!C$300:C$400,MATCH("*"&amp;L8&amp;"*",'V1'!B$300:B$400,0)),"  ")</f>
        <v>16</v>
      </c>
      <c r="AA8" s="353">
        <f>IFERROR(INDEX('V2'!C$300:C$395,MATCH("*"&amp;L8&amp;"*",'V2'!B$300:B$395,0)),"  ")</f>
        <v>13</v>
      </c>
      <c r="AB8" s="353">
        <f>IFERROR(INDEX('V3'!C$300:C$400,MATCH("*"&amp;L8&amp;"*",'V3'!B$300:B$400,0)),"  ")</f>
        <v>18</v>
      </c>
      <c r="AC8" s="353">
        <f>IFERROR(INDEX('V4'!C$300:C$400,MATCH("*"&amp;L8&amp;"*",'V4'!B$300:B$400,0)),"  ")</f>
        <v>20</v>
      </c>
      <c r="AD8" s="353">
        <f>IFERROR(INDEX('V5'!C$300:C$400,MATCH("*"&amp;L8&amp;"*",'V5'!B$300:B$400,0)),"  ")</f>
        <v>19</v>
      </c>
      <c r="AE8" s="353">
        <f>IFERROR(INDEX('V6'!C$300:C$400,MATCH("*"&amp;L8&amp;"*",'V6'!B$300:B$400,0)),"  ")</f>
        <v>20</v>
      </c>
      <c r="AF8" s="353">
        <f>IFERROR(INDEX('V7'!C$300:C$400,MATCH("*"&amp;L8&amp;"*",'V7'!B$300:B$400,0)),"  ")</f>
        <v>20</v>
      </c>
      <c r="AG8" s="353">
        <f>IFERROR(INDEX('V8'!C$300:C$400,MATCH("*"&amp;L8&amp;"*",'V8'!B$300:B$400,0)),"  ")</f>
        <v>17</v>
      </c>
      <c r="AH8" s="353">
        <f>IFERROR(INDEX('V9'!C$300:C$400,MATCH("*"&amp;L8&amp;"*",'V9'!B$300:B$400,0)),"  ")</f>
        <v>16</v>
      </c>
      <c r="AI8" s="353">
        <f>IFERROR(INDEX('V10'!C$300:C$400,MATCH("*"&amp;L8&amp;"*",'V10'!B$300:B$400,0)),"  ")</f>
        <v>12</v>
      </c>
      <c r="AJ8" s="354">
        <f t="shared" si="17"/>
        <v>1</v>
      </c>
      <c r="AK8" s="354">
        <f t="shared" si="18"/>
        <v>51</v>
      </c>
      <c r="AL8" s="355" t="str">
        <f t="shared" si="19"/>
        <v>edasi 2</v>
      </c>
      <c r="AM8" s="356" t="str">
        <f>IFERROR(INDEX(#REF!,MATCH("*"&amp;L8&amp;"*",#REF!,0)),"  ")</f>
        <v xml:space="preserve">  </v>
      </c>
      <c r="AN8" s="357">
        <f t="shared" si="20"/>
        <v>10</v>
      </c>
      <c r="AO8" s="358">
        <f t="shared" si="21"/>
        <v>5</v>
      </c>
      <c r="AP8" s="358">
        <f t="shared" si="22"/>
        <v>3</v>
      </c>
      <c r="AQ8" s="267"/>
      <c r="AR8" s="359"/>
      <c r="AS8" s="360"/>
      <c r="AT8" s="360"/>
      <c r="AU8" s="360"/>
      <c r="AV8" s="360"/>
      <c r="AW8" s="359">
        <f t="shared" si="23"/>
        <v>12.000999999999999</v>
      </c>
      <c r="AX8" s="360">
        <f t="shared" si="24"/>
        <v>16.0001</v>
      </c>
      <c r="AY8" s="360">
        <f t="shared" si="25"/>
        <v>13.0002</v>
      </c>
      <c r="AZ8" s="360">
        <f t="shared" si="26"/>
        <v>18.000299999999999</v>
      </c>
      <c r="BA8" s="360">
        <f t="shared" si="27"/>
        <v>20.000399999999999</v>
      </c>
      <c r="BB8" s="360">
        <f t="shared" si="28"/>
        <v>19.000499999999999</v>
      </c>
      <c r="BC8" s="360">
        <f t="shared" si="29"/>
        <v>20.000599999999999</v>
      </c>
      <c r="BD8" s="360">
        <f t="shared" si="30"/>
        <v>20.000699999999998</v>
      </c>
      <c r="BE8" s="360">
        <f t="shared" si="31"/>
        <v>17.000800000000002</v>
      </c>
      <c r="BF8" s="360">
        <f t="shared" si="32"/>
        <v>16.000900000000001</v>
      </c>
      <c r="BG8" s="360">
        <f t="shared" si="33"/>
        <v>12.000999999999999</v>
      </c>
    </row>
    <row r="9" spans="1:59" x14ac:dyDescent="0.2">
      <c r="A9" s="337">
        <f t="shared" si="0"/>
        <v>2</v>
      </c>
      <c r="B9" s="338">
        <f t="shared" si="1"/>
        <v>3</v>
      </c>
      <c r="C9" s="339" t="str">
        <f t="shared" si="2"/>
        <v/>
      </c>
      <c r="D9" s="338">
        <f t="shared" si="3"/>
        <v>-997</v>
      </c>
      <c r="E9" s="340">
        <f t="shared" si="4"/>
        <v>3</v>
      </c>
      <c r="F9" s="338">
        <f t="shared" si="5"/>
        <v>3</v>
      </c>
      <c r="G9" s="341" t="str">
        <f t="shared" si="6"/>
        <v/>
      </c>
      <c r="H9" s="338">
        <f t="shared" si="7"/>
        <v>-997</v>
      </c>
      <c r="I9" s="342" t="str">
        <f t="shared" si="8"/>
        <v/>
      </c>
      <c r="J9" s="343">
        <f t="shared" si="9"/>
        <v>-997</v>
      </c>
      <c r="K9" s="302">
        <f t="shared" si="10"/>
        <v>3</v>
      </c>
      <c r="L9" s="361" t="s">
        <v>152</v>
      </c>
      <c r="M9" s="345"/>
      <c r="N9" s="346" t="s">
        <v>192</v>
      </c>
      <c r="O9" s="347"/>
      <c r="P9" s="348"/>
      <c r="Q9" s="349" t="s">
        <v>190</v>
      </c>
      <c r="R9" s="350">
        <f>(IF(COUNT(Z9,AA9,AB9,AC9,AD9,AE9,AF9,AG9,AH9,AI9)&lt;9,SUM(Z9,AA9,AB9,AC9,AD9,AE9,AF9,AG9,AH9,AI9),SUM(LARGE((Z9,AA9,AB9,AC9,AD9,AE9,AF9,AG9,AH9,AI9),{1;2;3;4;5;6;7;8;9}))))</f>
        <v>155</v>
      </c>
      <c r="S9" s="351" t="str">
        <f>INDEX(ETAPP!B$1:B$32,MATCH(COUNTIF(Z9:AI9,PVO!A$1),ETAPP!A$1:A$32,0))&amp;INDEX(ETAPP!B$1:B$32,MATCH(COUNTIF(Z9:AI9,PVO!A$2),ETAPP!A$1:A$32,0))&amp;INDEX(ETAPP!B$1:B$32,MATCH(COUNTIF(Z9:AI9,PVO!A$3),ETAPP!A$1:A$32,0))&amp;INDEX(ETAPP!B$1:B$32,MATCH(COUNTIF(Z9:AI9,PVO!A$4),ETAPP!A$1:A$32,0))&amp;INDEX(ETAPP!B$1:B$32,MATCH(COUNTIF(Z9:AI9,PVO!A$5),ETAPP!A$1:A$32,0))&amp;INDEX(ETAPP!B$1:B$32,MATCH(COUNTIF(Z9:AI9,PVO!A$6),ETAPP!A$1:A$32,0))&amp;INDEX(ETAPP!B$1:B$32,MATCH(COUNTIF(Z9:AI9,PVO!A$7),ETAPP!A$1:A$32,0))&amp;INDEX(ETAPP!B$1:B$32,MATCH(COUNTIF(Z9:AI9,PVO!A$8),ETAPP!A$1:A$32,0))&amp;INDEX(ETAPP!B$1:B$32,MATCH(COUNTIF(Z9:AI9,PVO!A$9),ETAPP!A$1:A$32,0))&amp;INDEX(ETAPP!B$1:B$32,MATCH(COUNTIF(Z9:AI9,PVO!A$10),ETAPP!A$1:A$32,0))&amp;INDEX(ETAPP!B$1:B$32,MATCH(COUNTIF(Z9:AI9,PVO!A$11),ETAPP!A$1:A$32,0))&amp;INDEX(ETAPP!B$1:B$32,MATCH(COUNTIF(Z9:AI9,PVO!A$12),ETAPP!A$1:A$32,0))&amp;INDEX(ETAPP!B$1:B$32,MATCH(COUNTIF(Z9:AI9,PVO!A$13),ETAPP!A$1:A$32,0))&amp;INDEX(ETAPP!B$1:B$32,MATCH(COUNTIF(Z9:AI9,PVO!A$14),ETAPP!A$1:A$32,0))&amp;INDEX(ETAPP!B$1:B$32,MATCH(COUNTIF(Z9:AI9,PVO!A$15),ETAPP!A$1:A$32,0))&amp;INDEX(ETAPP!B$1:B$32,MATCH(COUNTIF(Z9:AI9,PVO!A$16),ETAPP!A$1:A$32,0))&amp;INDEX(ETAPP!B$1:B$32,MATCH(COUNTIF(Z9:AI9,PVO!A$17),ETAPP!A$1:A$32,0))&amp;INDEX(ETAPP!B$1:B$32,MATCH(COUNTIF(Z9:AI9,PVO!A$18),ETAPP!A$1:A$32,0))&amp;INDEX(ETAPP!B$1:B$32,MATCH(COUNTIF(Z9:AI9,PVO!A$19),ETAPP!A$1:A$32,0))</f>
        <v>CAAAA00AA0000000000</v>
      </c>
      <c r="T9" s="351" t="str">
        <f t="shared" si="11"/>
        <v>155,0-CAAAA00AA0000000000</v>
      </c>
      <c r="U9" s="351">
        <f t="shared" si="12"/>
        <v>3</v>
      </c>
      <c r="V9" s="351">
        <f t="shared" si="13"/>
        <v>14</v>
      </c>
      <c r="W9" s="351" t="str">
        <f t="shared" si="14"/>
        <v>155,0-CAAAA00AA0000000000-014</v>
      </c>
      <c r="X9" s="351">
        <f t="shared" si="15"/>
        <v>3</v>
      </c>
      <c r="Y9" s="352">
        <f t="shared" si="16"/>
        <v>50</v>
      </c>
      <c r="Z9" s="353" t="str">
        <f>IFERROR(INDEX('V1'!C$300:C$400,MATCH("*"&amp;L9&amp;"*",'V1'!B$300:B$400,0)),"  ")</f>
        <v xml:space="preserve">  </v>
      </c>
      <c r="AA9" s="353">
        <f>IFERROR(INDEX('V2'!C$300:C$395,MATCH("*"&amp;L9&amp;"*",'V2'!B$300:B$395,0)),"  ")</f>
        <v>13</v>
      </c>
      <c r="AB9" s="353">
        <f>IFERROR(INDEX('V3'!C$300:C$400,MATCH("*"&amp;L9&amp;"*",'V3'!B$300:B$400,0)),"  ")</f>
        <v>18</v>
      </c>
      <c r="AC9" s="353">
        <f>IFERROR(INDEX('V4'!C$300:C$400,MATCH("*"&amp;L9&amp;"*",'V4'!B$300:B$400,0)),"  ")</f>
        <v>20</v>
      </c>
      <c r="AD9" s="353">
        <f>IFERROR(INDEX('V5'!C$300:C$400,MATCH("*"&amp;L9&amp;"*",'V5'!B$300:B$400,0)),"  ")</f>
        <v>19</v>
      </c>
      <c r="AE9" s="353">
        <f>IFERROR(INDEX('V6'!C$300:C$400,MATCH("*"&amp;L9&amp;"*",'V6'!B$300:B$400,0)),"  ")</f>
        <v>20</v>
      </c>
      <c r="AF9" s="353">
        <f>IFERROR(INDEX('V7'!C$300:C$400,MATCH("*"&amp;L9&amp;"*",'V7'!B$300:B$400,0)),"  ")</f>
        <v>20</v>
      </c>
      <c r="AG9" s="353">
        <f>IFERROR(INDEX('V8'!C$300:C$400,MATCH("*"&amp;L9&amp;"*",'V8'!B$300:B$400,0)),"  ")</f>
        <v>17</v>
      </c>
      <c r="AH9" s="353">
        <f>IFERROR(INDEX('V9'!C$300:C$400,MATCH("*"&amp;L9&amp;"*",'V9'!B$300:B$400,0)),"  ")</f>
        <v>16</v>
      </c>
      <c r="AI9" s="353">
        <f>IFERROR(INDEX('V10'!C$300:C$400,MATCH("*"&amp;L9&amp;"*",'V10'!B$300:B$400,0)),"  ")</f>
        <v>12</v>
      </c>
      <c r="AJ9" s="354">
        <f t="shared" si="17"/>
        <v>1</v>
      </c>
      <c r="AK9" s="354">
        <f t="shared" si="18"/>
        <v>50</v>
      </c>
      <c r="AL9" s="355" t="str">
        <f t="shared" si="19"/>
        <v>edasi 3</v>
      </c>
      <c r="AM9" s="356" t="str">
        <f>IFERROR(INDEX(#REF!,MATCH("*"&amp;L9&amp;"*",#REF!,0)),"  ")</f>
        <v xml:space="preserve">  </v>
      </c>
      <c r="AN9" s="357">
        <f t="shared" si="20"/>
        <v>9</v>
      </c>
      <c r="AO9" s="358">
        <f t="shared" si="21"/>
        <v>5</v>
      </c>
      <c r="AP9" s="358">
        <f t="shared" si="22"/>
        <v>3</v>
      </c>
      <c r="AQ9" s="267"/>
      <c r="AR9" s="359"/>
      <c r="AS9" s="360"/>
      <c r="AT9" s="360"/>
      <c r="AU9" s="360"/>
      <c r="AV9" s="360"/>
      <c r="AW9" s="359">
        <f t="shared" si="23"/>
        <v>1E-4</v>
      </c>
      <c r="AX9" s="360">
        <f t="shared" si="24"/>
        <v>1E-4</v>
      </c>
      <c r="AY9" s="360">
        <f t="shared" si="25"/>
        <v>13.0002</v>
      </c>
      <c r="AZ9" s="360">
        <f t="shared" si="26"/>
        <v>18.000299999999999</v>
      </c>
      <c r="BA9" s="360">
        <f t="shared" si="27"/>
        <v>20.000399999999999</v>
      </c>
      <c r="BB9" s="360">
        <f t="shared" si="28"/>
        <v>19.000499999999999</v>
      </c>
      <c r="BC9" s="360">
        <f t="shared" si="29"/>
        <v>20.000599999999999</v>
      </c>
      <c r="BD9" s="360">
        <f t="shared" si="30"/>
        <v>20.000699999999998</v>
      </c>
      <c r="BE9" s="360">
        <f t="shared" si="31"/>
        <v>17.000800000000002</v>
      </c>
      <c r="BF9" s="360">
        <f t="shared" si="32"/>
        <v>16.000900000000001</v>
      </c>
      <c r="BG9" s="360">
        <f t="shared" si="33"/>
        <v>12.000999999999999</v>
      </c>
    </row>
    <row r="10" spans="1:59" x14ac:dyDescent="0.2">
      <c r="A10" s="337">
        <f t="shared" si="0"/>
        <v>3</v>
      </c>
      <c r="B10" s="338">
        <f t="shared" si="1"/>
        <v>4</v>
      </c>
      <c r="C10" s="339" t="str">
        <f t="shared" si="2"/>
        <v/>
      </c>
      <c r="D10" s="338">
        <f t="shared" si="3"/>
        <v>-996</v>
      </c>
      <c r="E10" s="340">
        <f t="shared" si="4"/>
        <v>4</v>
      </c>
      <c r="F10" s="338">
        <f t="shared" si="5"/>
        <v>4</v>
      </c>
      <c r="G10" s="341" t="str">
        <f t="shared" si="6"/>
        <v/>
      </c>
      <c r="H10" s="338">
        <f t="shared" si="7"/>
        <v>-996</v>
      </c>
      <c r="I10" s="342" t="str">
        <f t="shared" si="8"/>
        <v/>
      </c>
      <c r="J10" s="343">
        <f t="shared" si="9"/>
        <v>-996</v>
      </c>
      <c r="K10" s="302">
        <f t="shared" si="10"/>
        <v>4</v>
      </c>
      <c r="L10" s="361" t="s">
        <v>112</v>
      </c>
      <c r="M10" s="345"/>
      <c r="N10" s="346" t="str">
        <f>IF(M10="","m","")</f>
        <v>m</v>
      </c>
      <c r="O10" s="347"/>
      <c r="P10" s="348"/>
      <c r="Q10" s="349" t="s">
        <v>190</v>
      </c>
      <c r="R10" s="350">
        <f>(IF(COUNT(Z10,AA10,AB10,AC10,AD10,AE10,AF10,AG10,AH10,AI10)&lt;9,SUM(Z10,AA10,AB10,AC10,AD10,AE10,AF10,AG10,AH10,AI10),SUM(LARGE((Z10,AA10,AB10,AC10,AD10,AE10,AF10,AG10,AH10,AI10),{1;2;3;4;5;6;7;8;9}))))</f>
        <v>139</v>
      </c>
      <c r="S10" s="351" t="str">
        <f>INDEX(ETAPP!B$1:B$32,MATCH(COUNTIF(Z10:AI10,PVO!A$1),ETAPP!A$1:A$32,0))&amp;INDEX(ETAPP!B$1:B$32,MATCH(COUNTIF(Z10:AI10,PVO!A$2),ETAPP!A$1:A$32,0))&amp;INDEX(ETAPP!B$1:B$32,MATCH(COUNTIF(Z10:AI10,PVO!A$3),ETAPP!A$1:A$32,0))&amp;INDEX(ETAPP!B$1:B$32,MATCH(COUNTIF(Z10:AI10,PVO!A$4),ETAPP!A$1:A$32,0))&amp;INDEX(ETAPP!B$1:B$32,MATCH(COUNTIF(Z10:AI10,PVO!A$5),ETAPP!A$1:A$32,0))&amp;INDEX(ETAPP!B$1:B$32,MATCH(COUNTIF(Z10:AI10,PVO!A$6),ETAPP!A$1:A$32,0))&amp;INDEX(ETAPP!B$1:B$32,MATCH(COUNTIF(Z10:AI10,PVO!A$7),ETAPP!A$1:A$32,0))&amp;INDEX(ETAPP!B$1:B$32,MATCH(COUNTIF(Z10:AI10,PVO!A$8),ETAPP!A$1:A$32,0))&amp;INDEX(ETAPP!B$1:B$32,MATCH(COUNTIF(Z10:AI10,PVO!A$9),ETAPP!A$1:A$32,0))&amp;INDEX(ETAPP!B$1:B$32,MATCH(COUNTIF(Z10:AI10,PVO!A$10),ETAPP!A$1:A$32,0))&amp;INDEX(ETAPP!B$1:B$32,MATCH(COUNTIF(Z10:AI10,PVO!A$11),ETAPP!A$1:A$32,0))&amp;INDEX(ETAPP!B$1:B$32,MATCH(COUNTIF(Z10:AI10,PVO!A$12),ETAPP!A$1:A$32,0))&amp;INDEX(ETAPP!B$1:B$32,MATCH(COUNTIF(Z10:AI10,PVO!A$13),ETAPP!A$1:A$32,0))&amp;INDEX(ETAPP!B$1:B$32,MATCH(COUNTIF(Z10:AI10,PVO!A$14),ETAPP!A$1:A$32,0))&amp;INDEX(ETAPP!B$1:B$32,MATCH(COUNTIF(Z10:AI10,PVO!A$15),ETAPP!A$1:A$32,0))&amp;INDEX(ETAPP!B$1:B$32,MATCH(COUNTIF(Z10:AI10,PVO!A$16),ETAPP!A$1:A$32,0))&amp;INDEX(ETAPP!B$1:B$32,MATCH(COUNTIF(Z10:AI10,PVO!A$17),ETAPP!A$1:A$32,0))&amp;INDEX(ETAPP!B$1:B$32,MATCH(COUNTIF(Z10:AI10,PVO!A$18),ETAPP!A$1:A$32,0))&amp;INDEX(ETAPP!B$1:B$32,MATCH(COUNTIF(Z10:AI10,PVO!A$19),ETAPP!A$1:A$32,0))</f>
        <v>A0A0ACAB00A00000000</v>
      </c>
      <c r="T10" s="351" t="str">
        <f t="shared" si="11"/>
        <v>139,0-A0A0ACAB00A00000000</v>
      </c>
      <c r="U10" s="351">
        <f t="shared" si="12"/>
        <v>4</v>
      </c>
      <c r="V10" s="351">
        <f t="shared" si="13"/>
        <v>48</v>
      </c>
      <c r="W10" s="351" t="str">
        <f t="shared" si="14"/>
        <v>139,0-A0A0ACAB00A00000000-048</v>
      </c>
      <c r="X10" s="351">
        <f t="shared" si="15"/>
        <v>4</v>
      </c>
      <c r="Y10" s="352">
        <f t="shared" si="16"/>
        <v>49</v>
      </c>
      <c r="Z10" s="353">
        <f>IFERROR(INDEX('V1'!C$300:C$400,MATCH("*"&amp;L10&amp;"*",'V1'!B$300:B$400,0)),"  ")</f>
        <v>18</v>
      </c>
      <c r="AA10" s="353">
        <f>IFERROR(INDEX('V2'!C$300:C$395,MATCH("*"&amp;L10&amp;"*",'V2'!B$300:B$395,0)),"  ")</f>
        <v>20</v>
      </c>
      <c r="AB10" s="353">
        <f>IFERROR(INDEX('V3'!C$300:C$400,MATCH("*"&amp;L10&amp;"*",'V3'!B$300:B$400,0)),"  ")</f>
        <v>13</v>
      </c>
      <c r="AC10" s="353">
        <f>IFERROR(INDEX('V4'!C$300:C$400,MATCH("*"&amp;L10&amp;"*",'V4'!B$300:B$400,0)),"  ")</f>
        <v>14</v>
      </c>
      <c r="AD10" s="353">
        <f>IFERROR(INDEX('V5'!C$300:C$400,MATCH("*"&amp;L10&amp;"*",'V5'!B$300:B$400,0)),"  ")</f>
        <v>16</v>
      </c>
      <c r="AE10" s="353">
        <f>IFERROR(INDEX('V6'!C$300:C$400,MATCH("*"&amp;L10&amp;"*",'V6'!B$300:B$400,0)),"  ")</f>
        <v>15</v>
      </c>
      <c r="AF10" s="353">
        <f>IFERROR(INDEX('V7'!C$300:C$400,MATCH("*"&amp;L10&amp;"*",'V7'!B$300:B$400,0)),"  ")</f>
        <v>10</v>
      </c>
      <c r="AG10" s="353">
        <f>IFERROR(INDEX('V8'!C$300:C$400,MATCH("*"&amp;L10&amp;"*",'V8'!B$300:B$400,0)),"  ")</f>
        <v>15</v>
      </c>
      <c r="AH10" s="353">
        <f>IFERROR(INDEX('V9'!C$300:C$400,MATCH("*"&amp;L10&amp;"*",'V9'!B$300:B$400,0)),"  ")</f>
        <v>13</v>
      </c>
      <c r="AI10" s="353">
        <f>IFERROR(INDEX('V10'!C$300:C$400,MATCH("*"&amp;L10&amp;"*",'V10'!B$300:B$400,0)),"  ")</f>
        <v>15</v>
      </c>
      <c r="AJ10" s="354">
        <f t="shared" si="17"/>
        <v>1</v>
      </c>
      <c r="AK10" s="354">
        <f t="shared" si="18"/>
        <v>49</v>
      </c>
      <c r="AL10" s="355" t="str">
        <f t="shared" si="19"/>
        <v>edasi 4</v>
      </c>
      <c r="AM10" s="356" t="str">
        <f>IFERROR(INDEX(#REF!,MATCH("*"&amp;L10&amp;"*",#REF!,0)),"  ")</f>
        <v xml:space="preserve">  </v>
      </c>
      <c r="AN10" s="357">
        <f t="shared" si="20"/>
        <v>10</v>
      </c>
      <c r="AO10" s="358">
        <f t="shared" si="21"/>
        <v>2</v>
      </c>
      <c r="AP10" s="358">
        <f t="shared" si="22"/>
        <v>1</v>
      </c>
      <c r="AQ10" s="373"/>
      <c r="AR10" s="359"/>
      <c r="AS10" s="360"/>
      <c r="AT10" s="360"/>
      <c r="AU10" s="360"/>
      <c r="AV10" s="360"/>
      <c r="AW10" s="359">
        <f t="shared" si="23"/>
        <v>10.0007</v>
      </c>
      <c r="AX10" s="360">
        <f t="shared" si="24"/>
        <v>18.0001</v>
      </c>
      <c r="AY10" s="360">
        <f t="shared" si="25"/>
        <v>20.0002</v>
      </c>
      <c r="AZ10" s="360">
        <f t="shared" si="26"/>
        <v>13.000299999999999</v>
      </c>
      <c r="BA10" s="360">
        <f t="shared" si="27"/>
        <v>14.000400000000001</v>
      </c>
      <c r="BB10" s="360">
        <f t="shared" si="28"/>
        <v>16.000499999999999</v>
      </c>
      <c r="BC10" s="360">
        <f t="shared" si="29"/>
        <v>15.0006</v>
      </c>
      <c r="BD10" s="360">
        <f t="shared" si="30"/>
        <v>10.0007</v>
      </c>
      <c r="BE10" s="360">
        <f t="shared" si="31"/>
        <v>15.0008</v>
      </c>
      <c r="BF10" s="360">
        <f t="shared" si="32"/>
        <v>13.0009</v>
      </c>
      <c r="BG10" s="360">
        <f t="shared" si="33"/>
        <v>15.000999999999999</v>
      </c>
    </row>
    <row r="11" spans="1:59" x14ac:dyDescent="0.2">
      <c r="A11" s="337">
        <f t="shared" si="0"/>
        <v>4</v>
      </c>
      <c r="B11" s="338">
        <f t="shared" si="1"/>
        <v>5</v>
      </c>
      <c r="C11" s="339" t="str">
        <f t="shared" si="2"/>
        <v/>
      </c>
      <c r="D11" s="338">
        <f t="shared" si="3"/>
        <v>-995</v>
      </c>
      <c r="E11" s="340">
        <f t="shared" si="4"/>
        <v>5</v>
      </c>
      <c r="F11" s="338">
        <f t="shared" si="5"/>
        <v>5</v>
      </c>
      <c r="G11" s="341" t="str">
        <f t="shared" si="6"/>
        <v/>
      </c>
      <c r="H11" s="338">
        <f t="shared" si="7"/>
        <v>-995</v>
      </c>
      <c r="I11" s="342">
        <f t="shared" si="8"/>
        <v>1</v>
      </c>
      <c r="J11" s="343">
        <f t="shared" si="9"/>
        <v>5</v>
      </c>
      <c r="K11" s="302">
        <f t="shared" si="10"/>
        <v>5</v>
      </c>
      <c r="L11" s="361" t="s">
        <v>135</v>
      </c>
      <c r="M11" s="345"/>
      <c r="N11" s="346" t="s">
        <v>192</v>
      </c>
      <c r="O11" s="364" t="s">
        <v>125</v>
      </c>
      <c r="P11" s="348"/>
      <c r="Q11" s="349" t="s">
        <v>190</v>
      </c>
      <c r="R11" s="350">
        <f>(IF(COUNT(Z11,AA11,AB11,AC11,AD11,AE11,AF11,AG11,AH11,AI11)&lt;9,SUM(Z11,AA11,AB11,AC11,AD11,AE11,AF11,AG11,AH11,AI11),SUM(LARGE((Z11,AA11,AB11,AC11,AD11,AE11,AF11,AG11,AH11,AI11),{1;2;3;4;5;6;7;8;9}))))</f>
        <v>139</v>
      </c>
      <c r="S11" s="351" t="str">
        <f>INDEX(ETAPP!B$1:B$32,MATCH(COUNTIF(Z11:AI11,PVO!A$1),ETAPP!A$1:A$32,0))&amp;INDEX(ETAPP!B$1:B$32,MATCH(COUNTIF(Z11:AI11,PVO!A$2),ETAPP!A$1:A$32,0))&amp;INDEX(ETAPP!B$1:B$32,MATCH(COUNTIF(Z11:AI11,PVO!A$3),ETAPP!A$1:A$32,0))&amp;INDEX(ETAPP!B$1:B$32,MATCH(COUNTIF(Z11:AI11,PVO!A$4),ETAPP!A$1:A$32,0))&amp;INDEX(ETAPP!B$1:B$32,MATCH(COUNTIF(Z11:AI11,PVO!A$5),ETAPP!A$1:A$32,0))&amp;INDEX(ETAPP!B$1:B$32,MATCH(COUNTIF(Z11:AI11,PVO!A$6),ETAPP!A$1:A$32,0))&amp;INDEX(ETAPP!B$1:B$32,MATCH(COUNTIF(Z11:AI11,PVO!A$7),ETAPP!A$1:A$32,0))&amp;INDEX(ETAPP!B$1:B$32,MATCH(COUNTIF(Z11:AI11,PVO!A$8),ETAPP!A$1:A$32,0))&amp;INDEX(ETAPP!B$1:B$32,MATCH(COUNTIF(Z11:AI11,PVO!A$9),ETAPP!A$1:A$32,0))&amp;INDEX(ETAPP!B$1:B$32,MATCH(COUNTIF(Z11:AI11,PVO!A$10),ETAPP!A$1:A$32,0))&amp;INDEX(ETAPP!B$1:B$32,MATCH(COUNTIF(Z11:AI11,PVO!A$11),ETAPP!A$1:A$32,0))&amp;INDEX(ETAPP!B$1:B$32,MATCH(COUNTIF(Z11:AI11,PVO!A$12),ETAPP!A$1:A$32,0))&amp;INDEX(ETAPP!B$1:B$32,MATCH(COUNTIF(Z11:AI11,PVO!A$13),ETAPP!A$1:A$32,0))&amp;INDEX(ETAPP!B$1:B$32,MATCH(COUNTIF(Z11:AI11,PVO!A$14),ETAPP!A$1:A$32,0))&amp;INDEX(ETAPP!B$1:B$32,MATCH(COUNTIF(Z11:AI11,PVO!A$15),ETAPP!A$1:A$32,0))&amp;INDEX(ETAPP!B$1:B$32,MATCH(COUNTIF(Z11:AI11,PVO!A$16),ETAPP!A$1:A$32,0))&amp;INDEX(ETAPP!B$1:B$32,MATCH(COUNTIF(Z11:AI11,PVO!A$17),ETAPP!A$1:A$32,0))&amp;INDEX(ETAPP!B$1:B$32,MATCH(COUNTIF(Z11:AI11,PVO!A$18),ETAPP!A$1:A$32,0))&amp;INDEX(ETAPP!B$1:B$32,MATCH(COUNTIF(Z11:AI11,PVO!A$19),ETAPP!A$1:A$32,0))</f>
        <v>0BAAAAA0A00B0000000</v>
      </c>
      <c r="T11" s="351" t="str">
        <f t="shared" si="11"/>
        <v>139,0-0BAAAAA0A00B0000000</v>
      </c>
      <c r="U11" s="351">
        <f t="shared" si="12"/>
        <v>5</v>
      </c>
      <c r="V11" s="351">
        <f t="shared" si="13"/>
        <v>33</v>
      </c>
      <c r="W11" s="351" t="str">
        <f t="shared" si="14"/>
        <v>139,0-0BAAAAA0A00B0000000-033</v>
      </c>
      <c r="X11" s="351">
        <f t="shared" si="15"/>
        <v>5</v>
      </c>
      <c r="Y11" s="352">
        <f t="shared" si="16"/>
        <v>48</v>
      </c>
      <c r="Z11" s="353">
        <f>IFERROR(INDEX('V1'!C$300:C$400,MATCH("*"&amp;L11&amp;"*",'V1'!B$300:B$400,0)),"  ")</f>
        <v>14</v>
      </c>
      <c r="AA11" s="353">
        <f>IFERROR(INDEX('V2'!C$300:C$395,MATCH("*"&amp;L11&amp;"*",'V2'!B$300:B$395,0)),"  ")</f>
        <v>19</v>
      </c>
      <c r="AB11" s="353">
        <f>IFERROR(INDEX('V3'!C$300:C$400,MATCH("*"&amp;L11&amp;"*",'V3'!B$300:B$400,0)),"  ")</f>
        <v>19</v>
      </c>
      <c r="AC11" s="353">
        <f>IFERROR(INDEX('V4'!C$300:C$400,MATCH("*"&amp;L11&amp;"*",'V4'!B$300:B$400,0)),"  ")</f>
        <v>17</v>
      </c>
      <c r="AD11" s="353">
        <f>IFERROR(INDEX('V5'!C$300:C$400,MATCH("*"&amp;L11&amp;"*",'V5'!B$300:B$400,0)),"  ")</f>
        <v>15</v>
      </c>
      <c r="AE11" s="353">
        <f>IFERROR(INDEX('V6'!C$300:C$400,MATCH("*"&amp;L11&amp;"*",'V6'!B$300:B$400,0)),"  ")</f>
        <v>9</v>
      </c>
      <c r="AF11" s="353">
        <f>IFERROR(INDEX('V7'!C$300:C$400,MATCH("*"&amp;L11&amp;"*",'V7'!B$300:B$400,0)),"  ")</f>
        <v>12</v>
      </c>
      <c r="AG11" s="353">
        <f>IFERROR(INDEX('V8'!C$300:C$400,MATCH("*"&amp;L11&amp;"*",'V8'!B$300:B$400,0)),"  ")</f>
        <v>18</v>
      </c>
      <c r="AH11" s="353">
        <f>IFERROR(INDEX('V9'!C$300:C$400,MATCH("*"&amp;L11&amp;"*",'V9'!B$300:B$400,0)),"  ")</f>
        <v>9</v>
      </c>
      <c r="AI11" s="353">
        <f>IFERROR(INDEX('V10'!C$300:C$400,MATCH("*"&amp;L11&amp;"*",'V10'!B$300:B$400,0)),"  ")</f>
        <v>16</v>
      </c>
      <c r="AJ11" s="354">
        <f t="shared" si="17"/>
        <v>1</v>
      </c>
      <c r="AK11" s="354">
        <f t="shared" si="18"/>
        <v>48</v>
      </c>
      <c r="AL11" s="355" t="str">
        <f t="shared" si="19"/>
        <v>edasi 5</v>
      </c>
      <c r="AM11" s="356" t="str">
        <f>IFERROR(INDEX(#REF!,MATCH("*"&amp;L11&amp;"*",#REF!,0)),"  ")</f>
        <v xml:space="preserve">  </v>
      </c>
      <c r="AN11" s="357">
        <f t="shared" si="20"/>
        <v>10</v>
      </c>
      <c r="AO11" s="358">
        <f t="shared" si="21"/>
        <v>3</v>
      </c>
      <c r="AP11" s="358">
        <f t="shared" si="22"/>
        <v>0</v>
      </c>
      <c r="AQ11" s="267"/>
      <c r="AR11" s="359"/>
      <c r="AS11" s="360"/>
      <c r="AT11" s="360"/>
      <c r="AU11" s="360"/>
      <c r="AV11" s="360"/>
      <c r="AW11" s="359">
        <f t="shared" si="23"/>
        <v>9.0006000000000004</v>
      </c>
      <c r="AX11" s="360">
        <f t="shared" si="24"/>
        <v>14.0001</v>
      </c>
      <c r="AY11" s="360">
        <f t="shared" si="25"/>
        <v>19.0002</v>
      </c>
      <c r="AZ11" s="360">
        <f t="shared" si="26"/>
        <v>19.000299999999999</v>
      </c>
      <c r="BA11" s="360">
        <f t="shared" si="27"/>
        <v>17.000399999999999</v>
      </c>
      <c r="BB11" s="360">
        <f t="shared" si="28"/>
        <v>15.000500000000001</v>
      </c>
      <c r="BC11" s="360">
        <f t="shared" si="29"/>
        <v>9.0006000000000004</v>
      </c>
      <c r="BD11" s="360">
        <f t="shared" si="30"/>
        <v>12.0007</v>
      </c>
      <c r="BE11" s="360">
        <f t="shared" si="31"/>
        <v>18.000800000000002</v>
      </c>
      <c r="BF11" s="360">
        <f t="shared" si="32"/>
        <v>9.0008999999999997</v>
      </c>
      <c r="BG11" s="360">
        <f t="shared" si="33"/>
        <v>16.001000000000001</v>
      </c>
    </row>
    <row r="12" spans="1:59" x14ac:dyDescent="0.2">
      <c r="A12" s="337">
        <f t="shared" si="0"/>
        <v>5</v>
      </c>
      <c r="B12" s="338">
        <f t="shared" si="1"/>
        <v>6</v>
      </c>
      <c r="C12" s="339">
        <f t="shared" si="2"/>
        <v>3</v>
      </c>
      <c r="D12" s="338">
        <f t="shared" si="3"/>
        <v>6</v>
      </c>
      <c r="E12" s="340">
        <f t="shared" si="4"/>
        <v>6</v>
      </c>
      <c r="F12" s="338">
        <f t="shared" si="5"/>
        <v>6</v>
      </c>
      <c r="G12" s="341" t="str">
        <f t="shared" si="6"/>
        <v/>
      </c>
      <c r="H12" s="338">
        <f t="shared" si="7"/>
        <v>-994</v>
      </c>
      <c r="I12" s="342" t="str">
        <f t="shared" si="8"/>
        <v/>
      </c>
      <c r="J12" s="343">
        <f t="shared" si="9"/>
        <v>-994</v>
      </c>
      <c r="K12" s="302">
        <f t="shared" si="10"/>
        <v>6</v>
      </c>
      <c r="L12" s="361" t="s">
        <v>126</v>
      </c>
      <c r="M12" s="345"/>
      <c r="N12" s="346" t="s">
        <v>192</v>
      </c>
      <c r="O12" s="347"/>
      <c r="P12" s="348" t="s">
        <v>191</v>
      </c>
      <c r="Q12" s="349" t="s">
        <v>190</v>
      </c>
      <c r="R12" s="350">
        <f>(IF(COUNT(Z12,AA12,AB12,AC12,AD12,AE12,AF12,AG12,AH12,AI12)&lt;9,SUM(Z12,AA12,AB12,AC12,AD12,AE12,AF12,AG12,AH12,AI12),SUM(LARGE((Z12,AA12,AB12,AC12,AD12,AE12,AF12,AG12,AH12,AI12),{1;2;3;4;5;6;7;8;9}))))</f>
        <v>139</v>
      </c>
      <c r="S12" s="351" t="str">
        <f>INDEX(ETAPP!B$1:B$32,MATCH(COUNTIF(Z12:AI12,PVO!A$1),ETAPP!A$1:A$32,0))&amp;INDEX(ETAPP!B$1:B$32,MATCH(COUNTIF(Z12:AI12,PVO!A$2),ETAPP!A$1:A$32,0))&amp;INDEX(ETAPP!B$1:B$32,MATCH(COUNTIF(Z12:AI12,PVO!A$3),ETAPP!A$1:A$32,0))&amp;INDEX(ETAPP!B$1:B$32,MATCH(COUNTIF(Z12:AI12,PVO!A$4),ETAPP!A$1:A$32,0))&amp;INDEX(ETAPP!B$1:B$32,MATCH(COUNTIF(Z12:AI12,PVO!A$5),ETAPP!A$1:A$32,0))&amp;INDEX(ETAPP!B$1:B$32,MATCH(COUNTIF(Z12:AI12,PVO!A$6),ETAPP!A$1:A$32,0))&amp;INDEX(ETAPP!B$1:B$32,MATCH(COUNTIF(Z12:AI12,PVO!A$7),ETAPP!A$1:A$32,0))&amp;INDEX(ETAPP!B$1:B$32,MATCH(COUNTIF(Z12:AI12,PVO!A$8),ETAPP!A$1:A$32,0))&amp;INDEX(ETAPP!B$1:B$32,MATCH(COUNTIF(Z12:AI12,PVO!A$9),ETAPP!A$1:A$32,0))&amp;INDEX(ETAPP!B$1:B$32,MATCH(COUNTIF(Z12:AI12,PVO!A$10),ETAPP!A$1:A$32,0))&amp;INDEX(ETAPP!B$1:B$32,MATCH(COUNTIF(Z12:AI12,PVO!A$11),ETAPP!A$1:A$32,0))&amp;INDEX(ETAPP!B$1:B$32,MATCH(COUNTIF(Z12:AI12,PVO!A$12),ETAPP!A$1:A$32,0))&amp;INDEX(ETAPP!B$1:B$32,MATCH(COUNTIF(Z12:AI12,PVO!A$13),ETAPP!A$1:A$32,0))&amp;INDEX(ETAPP!B$1:B$32,MATCH(COUNTIF(Z12:AI12,PVO!A$14),ETAPP!A$1:A$32,0))&amp;INDEX(ETAPP!B$1:B$32,MATCH(COUNTIF(Z12:AI12,PVO!A$15),ETAPP!A$1:A$32,0))&amp;INDEX(ETAPP!B$1:B$32,MATCH(COUNTIF(Z12:AI12,PVO!A$16),ETAPP!A$1:A$32,0))&amp;INDEX(ETAPP!B$1:B$32,MATCH(COUNTIF(Z12:AI12,PVO!A$17),ETAPP!A$1:A$32,0))&amp;INDEX(ETAPP!B$1:B$32,MATCH(COUNTIF(Z12:AI12,PVO!A$18),ETAPP!A$1:A$32,0))&amp;INDEX(ETAPP!B$1:B$32,MATCH(COUNTIF(Z12:AI12,PVO!A$19),ETAPP!A$1:A$32,0))</f>
        <v>0AC0A0AAAB000000000</v>
      </c>
      <c r="T12" s="351" t="str">
        <f t="shared" si="11"/>
        <v>139,0-0AC0A0AAAB000000000</v>
      </c>
      <c r="U12" s="351">
        <f t="shared" si="12"/>
        <v>6</v>
      </c>
      <c r="V12" s="351">
        <f t="shared" si="13"/>
        <v>6</v>
      </c>
      <c r="W12" s="351" t="str">
        <f t="shared" si="14"/>
        <v>139,0-0AC0A0AAAB000000000-006</v>
      </c>
      <c r="X12" s="351">
        <f t="shared" si="15"/>
        <v>6</v>
      </c>
      <c r="Y12" s="352">
        <f t="shared" si="16"/>
        <v>47</v>
      </c>
      <c r="Z12" s="353">
        <f>IFERROR(INDEX('V1'!C$300:C$400,MATCH("*"&amp;L12&amp;"*",'V1'!B$300:B$400,0)),"  ")</f>
        <v>13</v>
      </c>
      <c r="AA12" s="353">
        <f>IFERROR(INDEX('V2'!C$300:C$395,MATCH("*"&amp;L12&amp;"*",'V2'!B$300:B$395,0)),"  ")</f>
        <v>18</v>
      </c>
      <c r="AB12" s="353">
        <f>IFERROR(INDEX('V3'!C$300:C$400,MATCH("*"&amp;L12&amp;"*",'V3'!B$300:B$400,0)),"  ")</f>
        <v>12</v>
      </c>
      <c r="AC12" s="353">
        <f>IFERROR(INDEX('V4'!C$300:C$400,MATCH("*"&amp;L12&amp;"*",'V4'!B$300:B$400,0)),"  ")</f>
        <v>18</v>
      </c>
      <c r="AD12" s="353">
        <f>IFERROR(INDEX('V5'!C$300:C$400,MATCH("*"&amp;L12&amp;"*",'V5'!B$300:B$400,0)),"  ")</f>
        <v>11</v>
      </c>
      <c r="AE12" s="353">
        <f>IFERROR(INDEX('V6'!C$300:C$400,MATCH("*"&amp;L12&amp;"*",'V6'!B$300:B$400,0)),"  ")</f>
        <v>14</v>
      </c>
      <c r="AF12" s="353">
        <f>IFERROR(INDEX('V7'!C$300:C$400,MATCH("*"&amp;L12&amp;"*",'V7'!B$300:B$400,0)),"  ")</f>
        <v>16</v>
      </c>
      <c r="AG12" s="353">
        <f>IFERROR(INDEX('V8'!C$300:C$400,MATCH("*"&amp;L12&amp;"*",'V8'!B$300:B$400,0)),"  ")</f>
        <v>18</v>
      </c>
      <c r="AH12" s="353">
        <f>IFERROR(INDEX('V9'!C$300:C$400,MATCH("*"&amp;L12&amp;"*",'V9'!B$300:B$400,0)),"  ")</f>
        <v>11</v>
      </c>
      <c r="AI12" s="353">
        <f>IFERROR(INDEX('V10'!C$300:C$400,MATCH("*"&amp;L12&amp;"*",'V10'!B$300:B$400,0)),"  ")</f>
        <v>19</v>
      </c>
      <c r="AJ12" s="354">
        <f t="shared" si="17"/>
        <v>1</v>
      </c>
      <c r="AK12" s="354">
        <f t="shared" si="18"/>
        <v>47</v>
      </c>
      <c r="AL12" s="355" t="str">
        <f t="shared" si="19"/>
        <v>edasi 6</v>
      </c>
      <c r="AM12" s="356" t="str">
        <f>IFERROR(INDEX(#REF!,MATCH("*"&amp;L12&amp;"*",#REF!,0)),"  ")</f>
        <v xml:space="preserve">  </v>
      </c>
      <c r="AN12" s="357">
        <f t="shared" si="20"/>
        <v>10</v>
      </c>
      <c r="AO12" s="358">
        <f t="shared" si="21"/>
        <v>4</v>
      </c>
      <c r="AP12" s="358">
        <f t="shared" si="22"/>
        <v>0</v>
      </c>
      <c r="AQ12" s="267"/>
      <c r="AR12" s="359"/>
      <c r="AS12" s="360"/>
      <c r="AT12" s="360"/>
      <c r="AU12" s="360"/>
      <c r="AV12" s="360"/>
      <c r="AW12" s="359">
        <f t="shared" si="23"/>
        <v>11.000500000000001</v>
      </c>
      <c r="AX12" s="360">
        <f t="shared" si="24"/>
        <v>13.0001</v>
      </c>
      <c r="AY12" s="360">
        <f t="shared" si="25"/>
        <v>18.0002</v>
      </c>
      <c r="AZ12" s="360">
        <f t="shared" si="26"/>
        <v>12.000299999999999</v>
      </c>
      <c r="BA12" s="360">
        <f t="shared" si="27"/>
        <v>18.000399999999999</v>
      </c>
      <c r="BB12" s="360">
        <f t="shared" si="28"/>
        <v>11.000500000000001</v>
      </c>
      <c r="BC12" s="360">
        <f t="shared" si="29"/>
        <v>14.0006</v>
      </c>
      <c r="BD12" s="360">
        <f t="shared" si="30"/>
        <v>16.000699999999998</v>
      </c>
      <c r="BE12" s="360">
        <f t="shared" si="31"/>
        <v>18.000800000000002</v>
      </c>
      <c r="BF12" s="360">
        <f t="shared" si="32"/>
        <v>11.0009</v>
      </c>
      <c r="BG12" s="360">
        <f t="shared" si="33"/>
        <v>19.001000000000001</v>
      </c>
    </row>
    <row r="13" spans="1:59" x14ac:dyDescent="0.2">
      <c r="A13" s="337">
        <f t="shared" si="0"/>
        <v>6</v>
      </c>
      <c r="B13" s="338">
        <f t="shared" si="1"/>
        <v>7</v>
      </c>
      <c r="C13" s="339" t="str">
        <f t="shared" si="2"/>
        <v/>
      </c>
      <c r="D13" s="338">
        <f t="shared" si="3"/>
        <v>-993</v>
      </c>
      <c r="E13" s="340">
        <f t="shared" si="4"/>
        <v>7</v>
      </c>
      <c r="F13" s="338">
        <f t="shared" si="5"/>
        <v>7</v>
      </c>
      <c r="G13" s="341" t="str">
        <f t="shared" si="6"/>
        <v/>
      </c>
      <c r="H13" s="338">
        <f t="shared" si="7"/>
        <v>-993</v>
      </c>
      <c r="I13" s="342" t="str">
        <f t="shared" si="8"/>
        <v/>
      </c>
      <c r="J13" s="343">
        <f t="shared" si="9"/>
        <v>-993</v>
      </c>
      <c r="K13" s="302">
        <f t="shared" si="10"/>
        <v>7</v>
      </c>
      <c r="L13" s="361" t="s">
        <v>109</v>
      </c>
      <c r="M13" s="345"/>
      <c r="N13" s="346" t="str">
        <f>IF(M13="","m","")</f>
        <v>m</v>
      </c>
      <c r="O13" s="347"/>
      <c r="P13" s="348"/>
      <c r="Q13" s="349" t="s">
        <v>190</v>
      </c>
      <c r="R13" s="350">
        <f>(IF(COUNT(Z13,AA13,AB13,AC13,AD13,AE13,AF13,AG13,AH13,AI13)&lt;9,SUM(Z13,AA13,AB13,AC13,AD13,AE13,AF13,AG13,AH13,AI13),SUM(LARGE((Z13,AA13,AB13,AC13,AD13,AE13,AF13,AG13,AH13,AI13),{1;2;3;4;5;6;7;8;9}))))</f>
        <v>134</v>
      </c>
      <c r="S13" s="351" t="str">
        <f>INDEX(ETAPP!B$1:B$32,MATCH(COUNTIF(Z13:AI13,PVO!A$1),ETAPP!A$1:A$32,0))&amp;INDEX(ETAPP!B$1:B$32,MATCH(COUNTIF(Z13:AI13,PVO!A$2),ETAPP!A$1:A$32,0))&amp;INDEX(ETAPP!B$1:B$32,MATCH(COUNTIF(Z13:AI13,PVO!A$3),ETAPP!A$1:A$32,0))&amp;INDEX(ETAPP!B$1:B$32,MATCH(COUNTIF(Z13:AI13,PVO!A$4),ETAPP!A$1:A$32,0))&amp;INDEX(ETAPP!B$1:B$32,MATCH(COUNTIF(Z13:AI13,PVO!A$5),ETAPP!A$1:A$32,0))&amp;INDEX(ETAPP!B$1:B$32,MATCH(COUNTIF(Z13:AI13,PVO!A$6),ETAPP!A$1:A$32,0))&amp;INDEX(ETAPP!B$1:B$32,MATCH(COUNTIF(Z13:AI13,PVO!A$7),ETAPP!A$1:A$32,0))&amp;INDEX(ETAPP!B$1:B$32,MATCH(COUNTIF(Z13:AI13,PVO!A$8),ETAPP!A$1:A$32,0))&amp;INDEX(ETAPP!B$1:B$32,MATCH(COUNTIF(Z13:AI13,PVO!A$9),ETAPP!A$1:A$32,0))&amp;INDEX(ETAPP!B$1:B$32,MATCH(COUNTIF(Z13:AI13,PVO!A$10),ETAPP!A$1:A$32,0))&amp;INDEX(ETAPP!B$1:B$32,MATCH(COUNTIF(Z13:AI13,PVO!A$11),ETAPP!A$1:A$32,0))&amp;INDEX(ETAPP!B$1:B$32,MATCH(COUNTIF(Z13:AI13,PVO!A$12),ETAPP!A$1:A$32,0))&amp;INDEX(ETAPP!B$1:B$32,MATCH(COUNTIF(Z13:AI13,PVO!A$13),ETAPP!A$1:A$32,0))&amp;INDEX(ETAPP!B$1:B$32,MATCH(COUNTIF(Z13:AI13,PVO!A$14),ETAPP!A$1:A$32,0))&amp;INDEX(ETAPP!B$1:B$32,MATCH(COUNTIF(Z13:AI13,PVO!A$15),ETAPP!A$1:A$32,0))&amp;INDEX(ETAPP!B$1:B$32,MATCH(COUNTIF(Z13:AI13,PVO!A$16),ETAPP!A$1:A$32,0))&amp;INDEX(ETAPP!B$1:B$32,MATCH(COUNTIF(Z13:AI13,PVO!A$17),ETAPP!A$1:A$32,0))&amp;INDEX(ETAPP!B$1:B$32,MATCH(COUNTIF(Z13:AI13,PVO!A$18),ETAPP!A$1:A$32,0))&amp;INDEX(ETAPP!B$1:B$32,MATCH(COUNTIF(Z13:AI13,PVO!A$19),ETAPP!A$1:A$32,0))</f>
        <v>AAAA0D0000000000000</v>
      </c>
      <c r="T13" s="351" t="str">
        <f t="shared" si="11"/>
        <v>134,0-AAAA0D0000000000000</v>
      </c>
      <c r="U13" s="351">
        <f t="shared" si="12"/>
        <v>7</v>
      </c>
      <c r="V13" s="351">
        <f t="shared" si="13"/>
        <v>45</v>
      </c>
      <c r="W13" s="351" t="str">
        <f t="shared" si="14"/>
        <v>134,0-AAAA0D0000000000000-045</v>
      </c>
      <c r="X13" s="351">
        <f t="shared" si="15"/>
        <v>7</v>
      </c>
      <c r="Y13" s="352">
        <f t="shared" si="16"/>
        <v>46</v>
      </c>
      <c r="Z13" s="353">
        <f>IFERROR(INDEX('V1'!C$300:C$400,MATCH("*"&amp;L13&amp;"*",'V1'!B$300:B$400,0)),"  ")</f>
        <v>15</v>
      </c>
      <c r="AA13" s="353">
        <f>IFERROR(INDEX('V2'!C$300:C$395,MATCH("*"&amp;L13&amp;"*",'V2'!B$300:B$395,0)),"  ")</f>
        <v>15</v>
      </c>
      <c r="AB13" s="353" t="str">
        <f>IFERROR(INDEX('V3'!C$300:C$400,MATCH("*"&amp;L13&amp;"*",'V3'!B$300:B$400,0)),"  ")</f>
        <v xml:space="preserve">  </v>
      </c>
      <c r="AC13" s="353">
        <f>IFERROR(INDEX('V4'!C$300:C$400,MATCH("*"&amp;L13&amp;"*",'V4'!B$300:B$400,0)),"  ")</f>
        <v>19</v>
      </c>
      <c r="AD13" s="353">
        <f>IFERROR(INDEX('V5'!C$300:C$400,MATCH("*"&amp;L13&amp;"*",'V5'!B$300:B$400,0)),"  ")</f>
        <v>18</v>
      </c>
      <c r="AE13" s="353">
        <f>IFERROR(INDEX('V6'!C$300:C$400,MATCH("*"&amp;L13&amp;"*",'V6'!B$300:B$400,0)),"  ")</f>
        <v>15</v>
      </c>
      <c r="AF13" s="353">
        <f>IFERROR(INDEX('V7'!C$300:C$400,MATCH("*"&amp;L13&amp;"*",'V7'!B$300:B$400,0)),"  ")</f>
        <v>17</v>
      </c>
      <c r="AG13" s="353">
        <f>IFERROR(INDEX('V8'!C$300:C$400,MATCH("*"&amp;L13&amp;"*",'V8'!B$300:B$400,0)),"  ")</f>
        <v>20</v>
      </c>
      <c r="AH13" s="353">
        <f>IFERROR(INDEX('V9'!C$300:C$400,MATCH("*"&amp;L13&amp;"*",'V9'!B$300:B$400,0)),"  ")</f>
        <v>15</v>
      </c>
      <c r="AI13" s="353" t="str">
        <f>IFERROR(INDEX('V10'!C$300:C$400,MATCH("*"&amp;L13&amp;"*",'V10'!B$300:B$400,0)),"  ")</f>
        <v xml:space="preserve">  </v>
      </c>
      <c r="AJ13" s="354">
        <f t="shared" si="17"/>
        <v>1</v>
      </c>
      <c r="AK13" s="354">
        <f t="shared" si="18"/>
        <v>46</v>
      </c>
      <c r="AL13" s="355" t="str">
        <f t="shared" si="19"/>
        <v>edasi 7</v>
      </c>
      <c r="AM13" s="356" t="str">
        <f>IFERROR(INDEX(#REF!,MATCH("*"&amp;L13&amp;"*",#REF!,0)),"  ")</f>
        <v xml:space="preserve">  </v>
      </c>
      <c r="AN13" s="357">
        <f t="shared" si="20"/>
        <v>8</v>
      </c>
      <c r="AO13" s="358">
        <f t="shared" si="21"/>
        <v>3</v>
      </c>
      <c r="AP13" s="358">
        <f t="shared" si="22"/>
        <v>1</v>
      </c>
      <c r="AQ13" s="267"/>
      <c r="AR13" s="359"/>
      <c r="AS13" s="360"/>
      <c r="AT13" s="360"/>
      <c r="AU13" s="360"/>
      <c r="AV13" s="360"/>
      <c r="AW13" s="359">
        <f t="shared" si="23"/>
        <v>2.9999999999999997E-4</v>
      </c>
      <c r="AX13" s="360">
        <f t="shared" si="24"/>
        <v>15.0001</v>
      </c>
      <c r="AY13" s="360">
        <f t="shared" si="25"/>
        <v>15.0002</v>
      </c>
      <c r="AZ13" s="360">
        <f t="shared" si="26"/>
        <v>2.9999999999999997E-4</v>
      </c>
      <c r="BA13" s="360">
        <f t="shared" si="27"/>
        <v>19.000399999999999</v>
      </c>
      <c r="BB13" s="360">
        <f t="shared" si="28"/>
        <v>18.000499999999999</v>
      </c>
      <c r="BC13" s="360">
        <f t="shared" si="29"/>
        <v>15.0006</v>
      </c>
      <c r="BD13" s="360">
        <f t="shared" si="30"/>
        <v>17.000699999999998</v>
      </c>
      <c r="BE13" s="360">
        <f t="shared" si="31"/>
        <v>20.000800000000002</v>
      </c>
      <c r="BF13" s="360">
        <f t="shared" si="32"/>
        <v>15.0009</v>
      </c>
      <c r="BG13" s="360">
        <f t="shared" si="33"/>
        <v>1E-3</v>
      </c>
    </row>
    <row r="14" spans="1:59" x14ac:dyDescent="0.2">
      <c r="A14" s="337">
        <f t="shared" si="0"/>
        <v>7</v>
      </c>
      <c r="B14" s="338">
        <f t="shared" si="1"/>
        <v>8</v>
      </c>
      <c r="C14" s="339">
        <f t="shared" si="2"/>
        <v>4</v>
      </c>
      <c r="D14" s="338">
        <f t="shared" si="3"/>
        <v>8</v>
      </c>
      <c r="E14" s="340">
        <f t="shared" si="4"/>
        <v>8</v>
      </c>
      <c r="F14" s="338">
        <f t="shared" si="5"/>
        <v>8</v>
      </c>
      <c r="G14" s="341" t="str">
        <f t="shared" si="6"/>
        <v/>
      </c>
      <c r="H14" s="338">
        <f t="shared" si="7"/>
        <v>-992</v>
      </c>
      <c r="I14" s="342">
        <f t="shared" si="8"/>
        <v>2</v>
      </c>
      <c r="J14" s="343">
        <f t="shared" si="9"/>
        <v>8</v>
      </c>
      <c r="K14" s="302">
        <f t="shared" si="10"/>
        <v>8</v>
      </c>
      <c r="L14" s="362" t="s">
        <v>124</v>
      </c>
      <c r="M14" s="345"/>
      <c r="N14" s="346" t="str">
        <f>IF(M14="","m","")</f>
        <v>m</v>
      </c>
      <c r="O14" s="347" t="s">
        <v>125</v>
      </c>
      <c r="P14" s="348" t="s">
        <v>191</v>
      </c>
      <c r="Q14" s="349" t="s">
        <v>190</v>
      </c>
      <c r="R14" s="350">
        <f>(IF(COUNT(Z14,AA14,AB14,AC14,AD14,AE14,AF14,AG14,AH14,AI14)&lt;9,SUM(Z14,AA14,AB14,AC14,AD14,AE14,AF14,AG14,AH14,AI14),SUM(LARGE((Z14,AA14,AB14,AC14,AD14,AE14,AF14,AG14,AH14,AI14),{1;2;3;4;5;6;7;8;9}))))</f>
        <v>132</v>
      </c>
      <c r="S14" s="351" t="str">
        <f>INDEX(ETAPP!B$1:B$32,MATCH(COUNTIF(Z14:AI14,PVO!A$1),ETAPP!A$1:A$32,0))&amp;INDEX(ETAPP!B$1:B$32,MATCH(COUNTIF(Z14:AI14,PVO!A$2),ETAPP!A$1:A$32,0))&amp;INDEX(ETAPP!B$1:B$32,MATCH(COUNTIF(Z14:AI14,PVO!A$3),ETAPP!A$1:A$32,0))&amp;INDEX(ETAPP!B$1:B$32,MATCH(COUNTIF(Z14:AI14,PVO!A$4),ETAPP!A$1:A$32,0))&amp;INDEX(ETAPP!B$1:B$32,MATCH(COUNTIF(Z14:AI14,PVO!A$5),ETAPP!A$1:A$32,0))&amp;INDEX(ETAPP!B$1:B$32,MATCH(COUNTIF(Z14:AI14,PVO!A$6),ETAPP!A$1:A$32,0))&amp;INDEX(ETAPP!B$1:B$32,MATCH(COUNTIF(Z14:AI14,PVO!A$7),ETAPP!A$1:A$32,0))&amp;INDEX(ETAPP!B$1:B$32,MATCH(COUNTIF(Z14:AI14,PVO!A$8),ETAPP!A$1:A$32,0))&amp;INDEX(ETAPP!B$1:B$32,MATCH(COUNTIF(Z14:AI14,PVO!A$9),ETAPP!A$1:A$32,0))&amp;INDEX(ETAPP!B$1:B$32,MATCH(COUNTIF(Z14:AI14,PVO!A$10),ETAPP!A$1:A$32,0))&amp;INDEX(ETAPP!B$1:B$32,MATCH(COUNTIF(Z14:AI14,PVO!A$11),ETAPP!A$1:A$32,0))&amp;INDEX(ETAPP!B$1:B$32,MATCH(COUNTIF(Z14:AI14,PVO!A$12),ETAPP!A$1:A$32,0))&amp;INDEX(ETAPP!B$1:B$32,MATCH(COUNTIF(Z14:AI14,PVO!A$13),ETAPP!A$1:A$32,0))&amp;INDEX(ETAPP!B$1:B$32,MATCH(COUNTIF(Z14:AI14,PVO!A$14),ETAPP!A$1:A$32,0))&amp;INDEX(ETAPP!B$1:B$32,MATCH(COUNTIF(Z14:AI14,PVO!A$15),ETAPP!A$1:A$32,0))&amp;INDEX(ETAPP!B$1:B$32,MATCH(COUNTIF(Z14:AI14,PVO!A$16),ETAPP!A$1:A$32,0))&amp;INDEX(ETAPP!B$1:B$32,MATCH(COUNTIF(Z14:AI14,PVO!A$17),ETAPP!A$1:A$32,0))&amp;INDEX(ETAPP!B$1:B$32,MATCH(COUNTIF(Z14:AI14,PVO!A$18),ETAPP!A$1:A$32,0))&amp;INDEX(ETAPP!B$1:B$32,MATCH(COUNTIF(Z14:AI14,PVO!A$19),ETAPP!A$1:A$32,0))</f>
        <v>0AB0A0AAAB000000000</v>
      </c>
      <c r="T14" s="351" t="str">
        <f t="shared" si="11"/>
        <v>132,0-0AB0A0AAAB000000000</v>
      </c>
      <c r="U14" s="351">
        <f t="shared" si="12"/>
        <v>8</v>
      </c>
      <c r="V14" s="351">
        <f t="shared" si="13"/>
        <v>41</v>
      </c>
      <c r="W14" s="351" t="str">
        <f t="shared" si="14"/>
        <v>132,0-0AB0A0AAAB000000000-041</v>
      </c>
      <c r="X14" s="351">
        <f t="shared" si="15"/>
        <v>8</v>
      </c>
      <c r="Y14" s="352">
        <f t="shared" si="16"/>
        <v>45</v>
      </c>
      <c r="Z14" s="353">
        <f>IFERROR(INDEX('V1'!C$300:C$400,MATCH("*"&amp;L14&amp;"*",'V1'!B$300:B$400,0)),"  ")</f>
        <v>13</v>
      </c>
      <c r="AA14" s="353">
        <f>IFERROR(INDEX('V2'!C$300:C$395,MATCH("*"&amp;L14&amp;"*",'V2'!B$300:B$395,0)),"  ")</f>
        <v>18</v>
      </c>
      <c r="AB14" s="353">
        <f>IFERROR(INDEX('V3'!C$300:C$400,MATCH("*"&amp;L14&amp;"*",'V3'!B$300:B$400,0)),"  ")</f>
        <v>12</v>
      </c>
      <c r="AC14" s="353">
        <f>IFERROR(INDEX('V4'!C$300:C$400,MATCH("*"&amp;L14&amp;"*",'V4'!B$300:B$400,0)),"  ")</f>
        <v>18</v>
      </c>
      <c r="AD14" s="353">
        <f>IFERROR(INDEX('V5'!C$300:C$400,MATCH("*"&amp;L14&amp;"*",'V5'!B$300:B$400,0)),"  ")</f>
        <v>11</v>
      </c>
      <c r="AE14" s="353">
        <f>IFERROR(INDEX('V6'!C$300:C$400,MATCH("*"&amp;L14&amp;"*",'V6'!B$300:B$400,0)),"  ")</f>
        <v>14</v>
      </c>
      <c r="AF14" s="353">
        <f>IFERROR(INDEX('V7'!C$300:C$400,MATCH("*"&amp;L14&amp;"*",'V7'!B$300:B$400,0)),"  ")</f>
        <v>16</v>
      </c>
      <c r="AG14" s="353" t="str">
        <f>IFERROR(INDEX('V8'!C$300:C$400,MATCH("*"&amp;L14&amp;"*",'V8'!B$300:B$400,0)),"  ")</f>
        <v xml:space="preserve">  </v>
      </c>
      <c r="AH14" s="353">
        <f>IFERROR(INDEX('V9'!C$300:C$400,MATCH("*"&amp;L14&amp;"*",'V9'!B$300:B$400,0)),"  ")</f>
        <v>11</v>
      </c>
      <c r="AI14" s="353">
        <f>IFERROR(INDEX('V10'!C$300:C$400,MATCH("*"&amp;L14&amp;"*",'V10'!B$300:B$400,0)),"  ")</f>
        <v>19</v>
      </c>
      <c r="AJ14" s="354">
        <f t="shared" si="17"/>
        <v>1</v>
      </c>
      <c r="AK14" s="354">
        <f t="shared" si="18"/>
        <v>45</v>
      </c>
      <c r="AL14" s="355" t="str">
        <f t="shared" si="19"/>
        <v>edasi 8</v>
      </c>
      <c r="AM14" s="356" t="str">
        <f>IFERROR(INDEX(#REF!,MATCH("*"&amp;L14&amp;"*",#REF!,0)),"  ")</f>
        <v xml:space="preserve">  </v>
      </c>
      <c r="AN14" s="357">
        <f t="shared" si="20"/>
        <v>9</v>
      </c>
      <c r="AO14" s="358">
        <f t="shared" si="21"/>
        <v>3</v>
      </c>
      <c r="AP14" s="358">
        <f t="shared" si="22"/>
        <v>0</v>
      </c>
      <c r="AQ14" s="267"/>
      <c r="AR14" s="359"/>
      <c r="AS14" s="360"/>
      <c r="AT14" s="360"/>
      <c r="AU14" s="360"/>
      <c r="AV14" s="360"/>
      <c r="AW14" s="359">
        <f t="shared" si="23"/>
        <v>8.0000000000000004E-4</v>
      </c>
      <c r="AX14" s="360">
        <f t="shared" si="24"/>
        <v>13.0001</v>
      </c>
      <c r="AY14" s="360">
        <f t="shared" si="25"/>
        <v>18.0002</v>
      </c>
      <c r="AZ14" s="360">
        <f t="shared" si="26"/>
        <v>12.000299999999999</v>
      </c>
      <c r="BA14" s="360">
        <f t="shared" si="27"/>
        <v>18.000399999999999</v>
      </c>
      <c r="BB14" s="360">
        <f t="shared" si="28"/>
        <v>11.000500000000001</v>
      </c>
      <c r="BC14" s="360">
        <f t="shared" si="29"/>
        <v>14.0006</v>
      </c>
      <c r="BD14" s="360">
        <f t="shared" si="30"/>
        <v>16.000699999999998</v>
      </c>
      <c r="BE14" s="360">
        <f t="shared" si="31"/>
        <v>8.0000000000000004E-4</v>
      </c>
      <c r="BF14" s="360">
        <f t="shared" si="32"/>
        <v>11.0009</v>
      </c>
      <c r="BG14" s="360">
        <f t="shared" si="33"/>
        <v>19.001000000000001</v>
      </c>
    </row>
    <row r="15" spans="1:59" x14ac:dyDescent="0.2">
      <c r="A15" s="337">
        <f t="shared" si="0"/>
        <v>8</v>
      </c>
      <c r="B15" s="338">
        <f t="shared" si="1"/>
        <v>9</v>
      </c>
      <c r="C15" s="339">
        <f t="shared" si="2"/>
        <v>5</v>
      </c>
      <c r="D15" s="338">
        <f t="shared" si="3"/>
        <v>9</v>
      </c>
      <c r="E15" s="340">
        <f t="shared" si="4"/>
        <v>9</v>
      </c>
      <c r="F15" s="338">
        <f t="shared" si="5"/>
        <v>9</v>
      </c>
      <c r="G15" s="341" t="str">
        <f t="shared" si="6"/>
        <v/>
      </c>
      <c r="H15" s="338">
        <f t="shared" si="7"/>
        <v>-991</v>
      </c>
      <c r="I15" s="342" t="str">
        <f t="shared" si="8"/>
        <v/>
      </c>
      <c r="J15" s="343">
        <f t="shared" si="9"/>
        <v>-991</v>
      </c>
      <c r="K15" s="302">
        <f t="shared" si="10"/>
        <v>9</v>
      </c>
      <c r="L15" s="344" t="s">
        <v>139</v>
      </c>
      <c r="M15" s="345"/>
      <c r="N15" s="346" t="str">
        <f>IF(M15="","m","")</f>
        <v>m</v>
      </c>
      <c r="O15" s="347"/>
      <c r="P15" s="348" t="s">
        <v>191</v>
      </c>
      <c r="Q15" s="349" t="s">
        <v>190</v>
      </c>
      <c r="R15" s="350">
        <f>(IF(COUNT(Z15,AA15,AB15,AC15,AD15,AE15,AF15,AG15,AH15,AI15)&lt;9,SUM(Z15,AA15,AB15,AC15,AD15,AE15,AF15,AG15,AH15,AI15),SUM(LARGE((Z15,AA15,AB15,AC15,AD15,AE15,AF15,AG15,AH15,AI15),{1;2;3;4;5;6;7;8;9}))))</f>
        <v>129</v>
      </c>
      <c r="S15" s="351" t="str">
        <f>INDEX(ETAPP!B$1:B$32,MATCH(COUNTIF(Z15:AI15,PVO!A$1),ETAPP!A$1:A$32,0))&amp;INDEX(ETAPP!B$1:B$32,MATCH(COUNTIF(Z15:AI15,PVO!A$2),ETAPP!A$1:A$32,0))&amp;INDEX(ETAPP!B$1:B$32,MATCH(COUNTIF(Z15:AI15,PVO!A$3),ETAPP!A$1:A$32,0))&amp;INDEX(ETAPP!B$1:B$32,MATCH(COUNTIF(Z15:AI15,PVO!A$4),ETAPP!A$1:A$32,0))&amp;INDEX(ETAPP!B$1:B$32,MATCH(COUNTIF(Z15:AI15,PVO!A$5),ETAPP!A$1:A$32,0))&amp;INDEX(ETAPP!B$1:B$32,MATCH(COUNTIF(Z15:AI15,PVO!A$6),ETAPP!A$1:A$32,0))&amp;INDEX(ETAPP!B$1:B$32,MATCH(COUNTIF(Z15:AI15,PVO!A$7),ETAPP!A$1:A$32,0))&amp;INDEX(ETAPP!B$1:B$32,MATCH(COUNTIF(Z15:AI15,PVO!A$8),ETAPP!A$1:A$32,0))&amp;INDEX(ETAPP!B$1:B$32,MATCH(COUNTIF(Z15:AI15,PVO!A$9),ETAPP!A$1:A$32,0))&amp;INDEX(ETAPP!B$1:B$32,MATCH(COUNTIF(Z15:AI15,PVO!A$10),ETAPP!A$1:A$32,0))&amp;INDEX(ETAPP!B$1:B$32,MATCH(COUNTIF(Z15:AI15,PVO!A$11),ETAPP!A$1:A$32,0))&amp;INDEX(ETAPP!B$1:B$32,MATCH(COUNTIF(Z15:AI15,PVO!A$12),ETAPP!A$1:A$32,0))&amp;INDEX(ETAPP!B$1:B$32,MATCH(COUNTIF(Z15:AI15,PVO!A$13),ETAPP!A$1:A$32,0))&amp;INDEX(ETAPP!B$1:B$32,MATCH(COUNTIF(Z15:AI15,PVO!A$14),ETAPP!A$1:A$32,0))&amp;INDEX(ETAPP!B$1:B$32,MATCH(COUNTIF(Z15:AI15,PVO!A$15),ETAPP!A$1:A$32,0))&amp;INDEX(ETAPP!B$1:B$32,MATCH(COUNTIF(Z15:AI15,PVO!A$16),ETAPP!A$1:A$32,0))&amp;INDEX(ETAPP!B$1:B$32,MATCH(COUNTIF(Z15:AI15,PVO!A$17),ETAPP!A$1:A$32,0))&amp;INDEX(ETAPP!B$1:B$32,MATCH(COUNTIF(Z15:AI15,PVO!A$18),ETAPP!A$1:A$32,0))&amp;INDEX(ETAPP!B$1:B$32,MATCH(COUNTIF(Z15:AI15,PVO!A$19),ETAPP!A$1:A$32,0))</f>
        <v>000C0AAC00A00000000</v>
      </c>
      <c r="T15" s="351" t="str">
        <f t="shared" si="11"/>
        <v>129,0-000C0AAC00A00000000</v>
      </c>
      <c r="U15" s="351">
        <f t="shared" si="12"/>
        <v>9</v>
      </c>
      <c r="V15" s="351">
        <f t="shared" si="13"/>
        <v>39</v>
      </c>
      <c r="W15" s="351" t="str">
        <f t="shared" si="14"/>
        <v>129,0-000C0AAC00A00000000-039</v>
      </c>
      <c r="X15" s="351">
        <f t="shared" si="15"/>
        <v>9</v>
      </c>
      <c r="Y15" s="352">
        <f t="shared" si="16"/>
        <v>44</v>
      </c>
      <c r="Z15" s="353">
        <f>IFERROR(INDEX('V1'!C$300:C$400,MATCH("*"&amp;L15&amp;"*",'V1'!B$300:B$400,0)),"  ")</f>
        <v>17</v>
      </c>
      <c r="AA15" s="353">
        <f>IFERROR(INDEX('V2'!C$300:C$395,MATCH("*"&amp;L15&amp;"*",'V2'!B$300:B$395,0)),"  ")</f>
        <v>17</v>
      </c>
      <c r="AB15" s="353">
        <f>IFERROR(INDEX('V3'!C$300:C$400,MATCH("*"&amp;L15&amp;"*",'V3'!B$300:B$400,0)),"  ")</f>
        <v>17</v>
      </c>
      <c r="AC15" s="353">
        <f>IFERROR(INDEX('V4'!C$300:C$400,MATCH("*"&amp;L15&amp;"*",'V4'!B$300:B$400,0)),"  ")</f>
        <v>15</v>
      </c>
      <c r="AD15" s="353">
        <f>IFERROR(INDEX('V5'!C$300:C$400,MATCH("*"&amp;L15&amp;"*",'V5'!B$300:B$400,0)),"  ")</f>
        <v>13</v>
      </c>
      <c r="AE15" s="353">
        <f>IFERROR(INDEX('V6'!C$300:C$400,MATCH("*"&amp;L15&amp;"*",'V6'!B$300:B$400,0)),"  ")</f>
        <v>13</v>
      </c>
      <c r="AF15" s="353">
        <f>IFERROR(INDEX('V7'!C$300:C$400,MATCH("*"&amp;L15&amp;"*",'V7'!B$300:B$400,0)),"  ")</f>
        <v>14</v>
      </c>
      <c r="AG15" s="353">
        <f>IFERROR(INDEX('V8'!C$300:C$400,MATCH("*"&amp;L15&amp;"*",'V8'!B$300:B$400,0)),"  ")</f>
        <v>13</v>
      </c>
      <c r="AH15" s="353">
        <f>IFERROR(INDEX('V9'!C$300:C$400,MATCH("*"&amp;L15&amp;"*",'V9'!B$300:B$400,0)),"  ")</f>
        <v>10</v>
      </c>
      <c r="AI15" s="353" t="str">
        <f>IFERROR(INDEX('V10'!C$300:C$400,MATCH("*"&amp;L15&amp;"*",'V10'!B$300:B$400,0)),"  ")</f>
        <v xml:space="preserve">  </v>
      </c>
      <c r="AJ15" s="354">
        <f t="shared" si="17"/>
        <v>1</v>
      </c>
      <c r="AK15" s="354">
        <f t="shared" si="18"/>
        <v>44</v>
      </c>
      <c r="AL15" s="355" t="str">
        <f t="shared" si="19"/>
        <v>edasi 9</v>
      </c>
      <c r="AM15" s="356" t="str">
        <f>IFERROR(INDEX(#REF!,MATCH("*"&amp;L15&amp;"*",#REF!,0)),"  ")</f>
        <v xml:space="preserve">  </v>
      </c>
      <c r="AN15" s="357">
        <f t="shared" si="20"/>
        <v>9</v>
      </c>
      <c r="AO15" s="358">
        <f t="shared" si="21"/>
        <v>0</v>
      </c>
      <c r="AP15" s="358">
        <f t="shared" si="22"/>
        <v>0</v>
      </c>
      <c r="AQ15" s="373"/>
      <c r="AR15" s="359"/>
      <c r="AS15" s="360"/>
      <c r="AT15" s="360"/>
      <c r="AU15" s="360"/>
      <c r="AV15" s="360"/>
      <c r="AW15" s="359">
        <f t="shared" si="23"/>
        <v>1E-3</v>
      </c>
      <c r="AX15" s="360">
        <f t="shared" si="24"/>
        <v>17.0001</v>
      </c>
      <c r="AY15" s="360">
        <f t="shared" si="25"/>
        <v>17.0002</v>
      </c>
      <c r="AZ15" s="360">
        <f t="shared" si="26"/>
        <v>17.000299999999999</v>
      </c>
      <c r="BA15" s="360">
        <f t="shared" si="27"/>
        <v>15.000400000000001</v>
      </c>
      <c r="BB15" s="360">
        <f t="shared" si="28"/>
        <v>13.000500000000001</v>
      </c>
      <c r="BC15" s="360">
        <f t="shared" si="29"/>
        <v>13.0006</v>
      </c>
      <c r="BD15" s="360">
        <f t="shared" si="30"/>
        <v>14.0007</v>
      </c>
      <c r="BE15" s="360">
        <f t="shared" si="31"/>
        <v>13.0008</v>
      </c>
      <c r="BF15" s="360">
        <f t="shared" si="32"/>
        <v>10.0009</v>
      </c>
      <c r="BG15" s="360">
        <f t="shared" si="33"/>
        <v>1E-3</v>
      </c>
    </row>
    <row r="16" spans="1:59" x14ac:dyDescent="0.2">
      <c r="A16" s="337">
        <f t="shared" si="0"/>
        <v>9</v>
      </c>
      <c r="B16" s="338">
        <f t="shared" si="1"/>
        <v>10</v>
      </c>
      <c r="C16" s="339" t="str">
        <f t="shared" si="2"/>
        <v/>
      </c>
      <c r="D16" s="338">
        <f t="shared" si="3"/>
        <v>-990</v>
      </c>
      <c r="E16" s="340" t="str">
        <f t="shared" si="4"/>
        <v/>
      </c>
      <c r="F16" s="338">
        <f t="shared" si="5"/>
        <v>-990</v>
      </c>
      <c r="G16" s="341">
        <f t="shared" si="6"/>
        <v>1</v>
      </c>
      <c r="H16" s="338">
        <f t="shared" si="7"/>
        <v>10</v>
      </c>
      <c r="I16" s="342" t="str">
        <f t="shared" si="8"/>
        <v/>
      </c>
      <c r="J16" s="343">
        <f t="shared" si="9"/>
        <v>-990</v>
      </c>
      <c r="K16" s="302">
        <f t="shared" si="10"/>
        <v>10</v>
      </c>
      <c r="L16" s="363" t="s">
        <v>118</v>
      </c>
      <c r="M16" s="345" t="s">
        <v>119</v>
      </c>
      <c r="N16" s="346" t="str">
        <f>IF(M16="","m","")</f>
        <v/>
      </c>
      <c r="O16" s="347"/>
      <c r="P16" s="348"/>
      <c r="Q16" s="349" t="s">
        <v>190</v>
      </c>
      <c r="R16" s="350">
        <f>(IF(COUNT(Z16,AA16,AB16,AC16,AD16,AE16,AF16,AG16,AH16,AI16)&lt;9,SUM(Z16,AA16,AB16,AC16,AD16,AE16,AF16,AG16,AH16,AI16),SUM(LARGE((Z16,AA16,AB16,AC16,AD16,AE16,AF16,AG16,AH16,AI16),{1;2;3;4;5;6;7;8;9}))))</f>
        <v>120</v>
      </c>
      <c r="S16" s="351" t="str">
        <f>INDEX(ETAPP!B$1:B$32,MATCH(COUNTIF(Z16:AI16,PVO!A$1),ETAPP!A$1:A$32,0))&amp;INDEX(ETAPP!B$1:B$32,MATCH(COUNTIF(Z16:AI16,PVO!A$2),ETAPP!A$1:A$32,0))&amp;INDEX(ETAPP!B$1:B$32,MATCH(COUNTIF(Z16:AI16,PVO!A$3),ETAPP!A$1:A$32,0))&amp;INDEX(ETAPP!B$1:B$32,MATCH(COUNTIF(Z16:AI16,PVO!A$4),ETAPP!A$1:A$32,0))&amp;INDEX(ETAPP!B$1:B$32,MATCH(COUNTIF(Z16:AI16,PVO!A$5),ETAPP!A$1:A$32,0))&amp;INDEX(ETAPP!B$1:B$32,MATCH(COUNTIF(Z16:AI16,PVO!A$6),ETAPP!A$1:A$32,0))&amp;INDEX(ETAPP!B$1:B$32,MATCH(COUNTIF(Z16:AI16,PVO!A$7),ETAPP!A$1:A$32,0))&amp;INDEX(ETAPP!B$1:B$32,MATCH(COUNTIF(Z16:AI16,PVO!A$8),ETAPP!A$1:A$32,0))&amp;INDEX(ETAPP!B$1:B$32,MATCH(COUNTIF(Z16:AI16,PVO!A$9),ETAPP!A$1:A$32,0))&amp;INDEX(ETAPP!B$1:B$32,MATCH(COUNTIF(Z16:AI16,PVO!A$10),ETAPP!A$1:A$32,0))&amp;INDEX(ETAPP!B$1:B$32,MATCH(COUNTIF(Z16:AI16,PVO!A$11),ETAPP!A$1:A$32,0))&amp;INDEX(ETAPP!B$1:B$32,MATCH(COUNTIF(Z16:AI16,PVO!A$12),ETAPP!A$1:A$32,0))&amp;INDEX(ETAPP!B$1:B$32,MATCH(COUNTIF(Z16:AI16,PVO!A$13),ETAPP!A$1:A$32,0))&amp;INDEX(ETAPP!B$1:B$32,MATCH(COUNTIF(Z16:AI16,PVO!A$14),ETAPP!A$1:A$32,0))&amp;INDEX(ETAPP!B$1:B$32,MATCH(COUNTIF(Z16:AI16,PVO!A$15),ETAPP!A$1:A$32,0))&amp;INDEX(ETAPP!B$1:B$32,MATCH(COUNTIF(Z16:AI16,PVO!A$16),ETAPP!A$1:A$32,0))&amp;INDEX(ETAPP!B$1:B$32,MATCH(COUNTIF(Z16:AI16,PVO!A$17),ETAPP!A$1:A$32,0))&amp;INDEX(ETAPP!B$1:B$32,MATCH(COUNTIF(Z16:AI16,PVO!A$18),ETAPP!A$1:A$32,0))&amp;INDEX(ETAPP!B$1:B$32,MATCH(COUNTIF(Z16:AI16,PVO!A$19),ETAPP!A$1:A$32,0))</f>
        <v>A0A0AB0B00A00000000</v>
      </c>
      <c r="T16" s="351" t="str">
        <f t="shared" si="11"/>
        <v>120,0-A0A0AB0B00A00000000</v>
      </c>
      <c r="U16" s="351">
        <f t="shared" si="12"/>
        <v>10</v>
      </c>
      <c r="V16" s="351">
        <f t="shared" si="13"/>
        <v>11</v>
      </c>
      <c r="W16" s="351" t="str">
        <f t="shared" si="14"/>
        <v>120,0-A0A0AB0B00A00000000-011</v>
      </c>
      <c r="X16" s="351">
        <f t="shared" si="15"/>
        <v>10</v>
      </c>
      <c r="Y16" s="352">
        <f t="shared" si="16"/>
        <v>43</v>
      </c>
      <c r="Z16" s="353">
        <f>IFERROR(INDEX('V1'!C$300:C$400,MATCH("*"&amp;L16&amp;"*",'V1'!B$300:B$400,0)),"  ")</f>
        <v>18</v>
      </c>
      <c r="AA16" s="353">
        <f>IFERROR(INDEX('V2'!C$300:C$395,MATCH("*"&amp;L16&amp;"*",'V2'!B$300:B$395,0)),"  ")</f>
        <v>20</v>
      </c>
      <c r="AB16" s="353">
        <f>IFERROR(INDEX('V3'!C$300:C$400,MATCH("*"&amp;L16&amp;"*",'V3'!B$300:B$400,0)),"  ")</f>
        <v>13</v>
      </c>
      <c r="AC16" s="353" t="str">
        <f>IFERROR(INDEX('V4'!C$300:C$400,MATCH("*"&amp;L16&amp;"*",'V4'!B$300:B$400,0)),"  ")</f>
        <v xml:space="preserve">  </v>
      </c>
      <c r="AD16" s="353">
        <f>IFERROR(INDEX('V5'!C$300:C$400,MATCH("*"&amp;L16&amp;"*",'V5'!B$300:B$400,0)),"  ")</f>
        <v>16</v>
      </c>
      <c r="AE16" s="353" t="str">
        <f>IFERROR(INDEX('V6'!C$300:C$400,MATCH("*"&amp;L16&amp;"*",'V6'!B$300:B$400,0)),"  ")</f>
        <v xml:space="preserve">  </v>
      </c>
      <c r="AF16" s="353">
        <f>IFERROR(INDEX('V7'!C$300:C$400,MATCH("*"&amp;L16&amp;"*",'V7'!B$300:B$400,0)),"  ")</f>
        <v>10</v>
      </c>
      <c r="AG16" s="353">
        <f>IFERROR(INDEX('V8'!C$300:C$400,MATCH("*"&amp;L16&amp;"*",'V8'!B$300:B$400,0)),"  ")</f>
        <v>15</v>
      </c>
      <c r="AH16" s="353">
        <f>IFERROR(INDEX('V9'!C$300:C$400,MATCH("*"&amp;L16&amp;"*",'V9'!B$300:B$400,0)),"  ")</f>
        <v>13</v>
      </c>
      <c r="AI16" s="353">
        <f>IFERROR(INDEX('V10'!C$300:C$400,MATCH("*"&amp;L16&amp;"*",'V10'!B$300:B$400,0)),"  ")</f>
        <v>15</v>
      </c>
      <c r="AJ16" s="354">
        <f t="shared" si="17"/>
        <v>1</v>
      </c>
      <c r="AK16" s="354">
        <f t="shared" si="18"/>
        <v>43</v>
      </c>
      <c r="AL16" s="355" t="str">
        <f t="shared" si="19"/>
        <v>edasi 10</v>
      </c>
      <c r="AM16" s="356" t="str">
        <f>IFERROR(INDEX(#REF!,MATCH("*"&amp;L16&amp;"*",#REF!,0)),"  ")</f>
        <v xml:space="preserve">  </v>
      </c>
      <c r="AN16" s="357">
        <f t="shared" si="20"/>
        <v>8</v>
      </c>
      <c r="AO16" s="358">
        <f t="shared" si="21"/>
        <v>2</v>
      </c>
      <c r="AP16" s="358">
        <f t="shared" si="22"/>
        <v>1</v>
      </c>
      <c r="AQ16" s="267"/>
      <c r="AR16" s="359"/>
      <c r="AS16" s="360"/>
      <c r="AT16" s="360"/>
      <c r="AU16" s="360"/>
      <c r="AV16" s="360"/>
      <c r="AW16" s="359">
        <f t="shared" si="23"/>
        <v>4.0000000000000002E-4</v>
      </c>
      <c r="AX16" s="360">
        <f t="shared" si="24"/>
        <v>18.0001</v>
      </c>
      <c r="AY16" s="360">
        <f t="shared" si="25"/>
        <v>20.0002</v>
      </c>
      <c r="AZ16" s="360">
        <f t="shared" si="26"/>
        <v>13.000299999999999</v>
      </c>
      <c r="BA16" s="360">
        <f t="shared" si="27"/>
        <v>4.0000000000000002E-4</v>
      </c>
      <c r="BB16" s="360">
        <f t="shared" si="28"/>
        <v>16.000499999999999</v>
      </c>
      <c r="BC16" s="360">
        <f t="shared" si="29"/>
        <v>5.9999999999999995E-4</v>
      </c>
      <c r="BD16" s="360">
        <f t="shared" si="30"/>
        <v>10.0007</v>
      </c>
      <c r="BE16" s="360">
        <f t="shared" si="31"/>
        <v>15.0008</v>
      </c>
      <c r="BF16" s="360">
        <f t="shared" si="32"/>
        <v>13.0009</v>
      </c>
      <c r="BG16" s="360">
        <f t="shared" si="33"/>
        <v>15.000999999999999</v>
      </c>
    </row>
    <row r="17" spans="1:59" x14ac:dyDescent="0.2">
      <c r="A17" s="337">
        <f t="shared" si="0"/>
        <v>10</v>
      </c>
      <c r="B17" s="338">
        <f t="shared" si="1"/>
        <v>11</v>
      </c>
      <c r="C17" s="339" t="str">
        <f t="shared" si="2"/>
        <v/>
      </c>
      <c r="D17" s="338">
        <f t="shared" si="3"/>
        <v>-989</v>
      </c>
      <c r="E17" s="340">
        <f t="shared" si="4"/>
        <v>10</v>
      </c>
      <c r="F17" s="338">
        <f t="shared" si="5"/>
        <v>11</v>
      </c>
      <c r="G17" s="341" t="str">
        <f t="shared" si="6"/>
        <v/>
      </c>
      <c r="H17" s="338">
        <f t="shared" si="7"/>
        <v>-989</v>
      </c>
      <c r="I17" s="342" t="str">
        <f t="shared" si="8"/>
        <v/>
      </c>
      <c r="J17" s="343">
        <f t="shared" si="9"/>
        <v>-989</v>
      </c>
      <c r="K17" s="365">
        <f t="shared" si="10"/>
        <v>11</v>
      </c>
      <c r="L17" s="990" t="s">
        <v>108</v>
      </c>
      <c r="M17" s="366"/>
      <c r="N17" s="367" t="str">
        <f>IF(M17="","m","")</f>
        <v>m</v>
      </c>
      <c r="O17" s="368"/>
      <c r="P17" s="369"/>
      <c r="Q17" s="370" t="s">
        <v>190</v>
      </c>
      <c r="R17" s="350">
        <f>(IF(COUNT(Z17,AA17,AB17,AC17,AD17,AE17,AF17,AG17,AH17,AI17)&lt;9,SUM(Z17,AA17,AB17,AC17,AD17,AE17,AF17,AG17,AH17,AI17),SUM(LARGE((Z17,AA17,AB17,AC17,AD17,AE17,AF17,AG17,AH17,AI17),{1;2;3;4;5;6;7;8;9}))))</f>
        <v>117</v>
      </c>
      <c r="S17" s="371" t="str">
        <f>INDEX(ETAPP!B$1:B$32,MATCH(COUNTIF(Z17:AI17,PVO!A$1),ETAPP!A$1:A$32,0))&amp;INDEX(ETAPP!B$1:B$32,MATCH(COUNTIF(Z17:AI17,PVO!A$2),ETAPP!A$1:A$32,0))&amp;INDEX(ETAPP!B$1:B$32,MATCH(COUNTIF(Z17:AI17,PVO!A$3),ETAPP!A$1:A$32,0))&amp;INDEX(ETAPP!B$1:B$32,MATCH(COUNTIF(Z17:AI17,PVO!A$4),ETAPP!A$1:A$32,0))&amp;INDEX(ETAPP!B$1:B$32,MATCH(COUNTIF(Z17:AI17,PVO!A$5),ETAPP!A$1:A$32,0))&amp;INDEX(ETAPP!B$1:B$32,MATCH(COUNTIF(Z17:AI17,PVO!A$6),ETAPP!A$1:A$32,0))&amp;INDEX(ETAPP!B$1:B$32,MATCH(COUNTIF(Z17:AI17,PVO!A$7),ETAPP!A$1:A$32,0))&amp;INDEX(ETAPP!B$1:B$32,MATCH(COUNTIF(Z17:AI17,PVO!A$8),ETAPP!A$1:A$32,0))&amp;INDEX(ETAPP!B$1:B$32,MATCH(COUNTIF(Z17:AI17,PVO!A$9),ETAPP!A$1:A$32,0))&amp;INDEX(ETAPP!B$1:B$32,MATCH(COUNTIF(Z17:AI17,PVO!A$10),ETAPP!A$1:A$32,0))&amp;INDEX(ETAPP!B$1:B$32,MATCH(COUNTIF(Z17:AI17,PVO!A$11),ETAPP!A$1:A$32,0))&amp;INDEX(ETAPP!B$1:B$32,MATCH(COUNTIF(Z17:AI17,PVO!A$12),ETAPP!A$1:A$32,0))&amp;INDEX(ETAPP!B$1:B$32,MATCH(COUNTIF(Z17:AI17,PVO!A$13),ETAPP!A$1:A$32,0))&amp;INDEX(ETAPP!B$1:B$32,MATCH(COUNTIF(Z17:AI17,PVO!A$14),ETAPP!A$1:A$32,0))&amp;INDEX(ETAPP!B$1:B$32,MATCH(COUNTIF(Z17:AI17,PVO!A$15),ETAPP!A$1:A$32,0))&amp;INDEX(ETAPP!B$1:B$32,MATCH(COUNTIF(Z17:AI17,PVO!A$16),ETAPP!A$1:A$32,0))&amp;INDEX(ETAPP!B$1:B$32,MATCH(COUNTIF(Z17:AI17,PVO!A$17),ETAPP!A$1:A$32,0))&amp;INDEX(ETAPP!B$1:B$32,MATCH(COUNTIF(Z17:AI17,PVO!A$18),ETAPP!A$1:A$32,0))&amp;INDEX(ETAPP!B$1:B$32,MATCH(COUNTIF(Z17:AI17,PVO!A$19),ETAPP!A$1:A$32,0))</f>
        <v>0AA0BAA000AA0000000</v>
      </c>
      <c r="T17" s="371" t="str">
        <f t="shared" si="11"/>
        <v>117,0-0AA0BAA000AA0000000</v>
      </c>
      <c r="U17" s="371">
        <f t="shared" si="12"/>
        <v>11</v>
      </c>
      <c r="V17" s="371">
        <f t="shared" si="13"/>
        <v>18</v>
      </c>
      <c r="W17" s="371" t="str">
        <f t="shared" si="14"/>
        <v>117,0-0AA0BAA000AA0000000-018</v>
      </c>
      <c r="X17" s="371">
        <f t="shared" si="15"/>
        <v>11</v>
      </c>
      <c r="Y17" s="372">
        <f t="shared" si="16"/>
        <v>42</v>
      </c>
      <c r="Z17" s="353" t="str">
        <f>IFERROR(INDEX('V1'!C$300:C$400,MATCH("*"&amp;L17&amp;"*",'V1'!B$300:B$400,0)),"  ")</f>
        <v xml:space="preserve">  </v>
      </c>
      <c r="AA17" s="353">
        <f>IFERROR(INDEX('V2'!C$300:C$395,MATCH("*"&amp;L17&amp;"*",'V2'!B$300:B$395,0)),"  ")</f>
        <v>14</v>
      </c>
      <c r="AB17" s="353">
        <f>IFERROR(INDEX('V3'!C$300:C$400,MATCH("*"&amp;L17&amp;"*",'V3'!B$300:B$400,0)),"  ")</f>
        <v>16</v>
      </c>
      <c r="AC17" s="353" t="str">
        <f>IFERROR(INDEX('V4'!C$300:C$400,MATCH("*"&amp;L17&amp;"*",'V4'!B$300:B$400,0)),"  ")</f>
        <v xml:space="preserve">  </v>
      </c>
      <c r="AD17" s="353">
        <f>IFERROR(INDEX('V5'!C$300:C$400,MATCH("*"&amp;L17&amp;"*",'V5'!B$300:B$400,0)),"  ")</f>
        <v>15</v>
      </c>
      <c r="AE17" s="353">
        <f>IFERROR(INDEX('V6'!C$300:C$400,MATCH("*"&amp;L17&amp;"*",'V6'!B$300:B$400,0)),"  ")</f>
        <v>9</v>
      </c>
      <c r="AF17" s="353">
        <f>IFERROR(INDEX('V7'!C$300:C$400,MATCH("*"&amp;L17&amp;"*",'V7'!B$300:B$400,0)),"  ")</f>
        <v>19</v>
      </c>
      <c r="AG17" s="353">
        <f>IFERROR(INDEX('V8'!C$300:C$400,MATCH("*"&amp;L17&amp;"*",'V8'!B$300:B$400,0)),"  ")</f>
        <v>16</v>
      </c>
      <c r="AH17" s="353">
        <f>IFERROR(INDEX('V9'!C$300:C$400,MATCH("*"&amp;L17&amp;"*",'V9'!B$300:B$400,0)),"  ")</f>
        <v>18</v>
      </c>
      <c r="AI17" s="353">
        <f>IFERROR(INDEX('V10'!C$300:C$400,MATCH("*"&amp;L17&amp;"*",'V10'!B$300:B$400,0)),"  ")</f>
        <v>10</v>
      </c>
      <c r="AJ17" s="354">
        <f t="shared" si="17"/>
        <v>1</v>
      </c>
      <c r="AK17" s="354">
        <f t="shared" si="18"/>
        <v>42</v>
      </c>
      <c r="AL17" s="355" t="str">
        <f t="shared" si="19"/>
        <v>edasi 11</v>
      </c>
      <c r="AM17" s="356" t="str">
        <f>IFERROR(INDEX(#REF!,MATCH("*"&amp;L17&amp;"*",#REF!,0)),"  ")</f>
        <v xml:space="preserve">  </v>
      </c>
      <c r="AN17" s="357">
        <f t="shared" si="20"/>
        <v>8</v>
      </c>
      <c r="AO17" s="358">
        <f t="shared" si="21"/>
        <v>2</v>
      </c>
      <c r="AP17" s="358">
        <f t="shared" si="22"/>
        <v>0</v>
      </c>
      <c r="AQ17" s="267"/>
      <c r="AR17" s="359"/>
      <c r="AS17" s="360"/>
      <c r="AT17" s="360"/>
      <c r="AU17" s="360"/>
      <c r="AV17" s="360"/>
      <c r="AW17" s="359">
        <f t="shared" si="23"/>
        <v>1E-4</v>
      </c>
      <c r="AX17" s="360">
        <f t="shared" si="24"/>
        <v>1E-4</v>
      </c>
      <c r="AY17" s="360">
        <f t="shared" si="25"/>
        <v>14.0002</v>
      </c>
      <c r="AZ17" s="360">
        <f t="shared" si="26"/>
        <v>16.000299999999999</v>
      </c>
      <c r="BA17" s="360">
        <f t="shared" si="27"/>
        <v>4.0000000000000002E-4</v>
      </c>
      <c r="BB17" s="360">
        <f t="shared" si="28"/>
        <v>15.000500000000001</v>
      </c>
      <c r="BC17" s="360">
        <f t="shared" si="29"/>
        <v>9.0006000000000004</v>
      </c>
      <c r="BD17" s="360">
        <f t="shared" si="30"/>
        <v>19.000699999999998</v>
      </c>
      <c r="BE17" s="360">
        <f t="shared" si="31"/>
        <v>16.000800000000002</v>
      </c>
      <c r="BF17" s="360">
        <f t="shared" si="32"/>
        <v>18.000900000000001</v>
      </c>
      <c r="BG17" s="360">
        <f t="shared" si="33"/>
        <v>10.000999999999999</v>
      </c>
    </row>
    <row r="18" spans="1:59" x14ac:dyDescent="0.2">
      <c r="A18" s="337" t="str">
        <f t="shared" si="0"/>
        <v/>
      </c>
      <c r="B18" s="338">
        <f t="shared" si="1"/>
        <v>-988</v>
      </c>
      <c r="C18" s="339" t="str">
        <f t="shared" si="2"/>
        <v/>
      </c>
      <c r="D18" s="338">
        <f t="shared" si="3"/>
        <v>-988</v>
      </c>
      <c r="E18" s="340">
        <f t="shared" si="4"/>
        <v>11</v>
      </c>
      <c r="F18" s="338">
        <f t="shared" si="5"/>
        <v>12</v>
      </c>
      <c r="G18" s="341" t="str">
        <f t="shared" si="6"/>
        <v/>
      </c>
      <c r="H18" s="338">
        <f t="shared" si="7"/>
        <v>-988</v>
      </c>
      <c r="I18" s="342">
        <f t="shared" si="8"/>
        <v>3</v>
      </c>
      <c r="J18" s="343">
        <f t="shared" si="9"/>
        <v>12</v>
      </c>
      <c r="K18" s="302">
        <f t="shared" si="10"/>
        <v>12</v>
      </c>
      <c r="L18" s="361" t="s">
        <v>464</v>
      </c>
      <c r="M18" s="345"/>
      <c r="N18" s="346" t="s">
        <v>192</v>
      </c>
      <c r="O18" s="364" t="s">
        <v>125</v>
      </c>
      <c r="P18" s="348"/>
      <c r="Q18" s="349"/>
      <c r="R18" s="350">
        <f>(IF(COUNT(Z18,AA18,AB18,AC18,AD18,AE18,AF18,AG18,AH18,AI18)&lt;9,SUM(Z18,AA18,AB18,AC18,AD18,AE18,AF18,AG18,AH18,AI18),SUM(LARGE((Z18,AA18,AB18,AC18,AD18,AE18,AF18,AG18,AH18,AI18),{1;2;3;4;5;6;7;8;9}))))</f>
        <v>114</v>
      </c>
      <c r="S18" s="351" t="str">
        <f>INDEX(ETAPP!B$1:B$32,MATCH(COUNTIF(Z18:AI18,PVO!A$1),ETAPP!A$1:A$32,0))&amp;INDEX(ETAPP!B$1:B$32,MATCH(COUNTIF(Z18:AI18,PVO!A$2),ETAPP!A$1:A$32,0))&amp;INDEX(ETAPP!B$1:B$32,MATCH(COUNTIF(Z18:AI18,PVO!A$3),ETAPP!A$1:A$32,0))&amp;INDEX(ETAPP!B$1:B$32,MATCH(COUNTIF(Z18:AI18,PVO!A$4),ETAPP!A$1:A$32,0))&amp;INDEX(ETAPP!B$1:B$32,MATCH(COUNTIF(Z18:AI18,PVO!A$5),ETAPP!A$1:A$32,0))&amp;INDEX(ETAPP!B$1:B$32,MATCH(COUNTIF(Z18:AI18,PVO!A$6),ETAPP!A$1:A$32,0))&amp;INDEX(ETAPP!B$1:B$32,MATCH(COUNTIF(Z18:AI18,PVO!A$7),ETAPP!A$1:A$32,0))&amp;INDEX(ETAPP!B$1:B$32,MATCH(COUNTIF(Z18:AI18,PVO!A$8),ETAPP!A$1:A$32,0))&amp;INDEX(ETAPP!B$1:B$32,MATCH(COUNTIF(Z18:AI18,PVO!A$9),ETAPP!A$1:A$32,0))&amp;INDEX(ETAPP!B$1:B$32,MATCH(COUNTIF(Z18:AI18,PVO!A$10),ETAPP!A$1:A$32,0))&amp;INDEX(ETAPP!B$1:B$32,MATCH(COUNTIF(Z18:AI18,PVO!A$11),ETAPP!A$1:A$32,0))&amp;INDEX(ETAPP!B$1:B$32,MATCH(COUNTIF(Z18:AI18,PVO!A$12),ETAPP!A$1:A$32,0))&amp;INDEX(ETAPP!B$1:B$32,MATCH(COUNTIF(Z18:AI18,PVO!A$13),ETAPP!A$1:A$32,0))&amp;INDEX(ETAPP!B$1:B$32,MATCH(COUNTIF(Z18:AI18,PVO!A$14),ETAPP!A$1:A$32,0))&amp;INDEX(ETAPP!B$1:B$32,MATCH(COUNTIF(Z18:AI18,PVO!A$15),ETAPP!A$1:A$32,0))&amp;INDEX(ETAPP!B$1:B$32,MATCH(COUNTIF(Z18:AI18,PVO!A$16),ETAPP!A$1:A$32,0))&amp;INDEX(ETAPP!B$1:B$32,MATCH(COUNTIF(Z18:AI18,PVO!A$17),ETAPP!A$1:A$32,0))&amp;INDEX(ETAPP!B$1:B$32,MATCH(COUNTIF(Z18:AI18,PVO!A$18),ETAPP!A$1:A$32,0))&amp;INDEX(ETAPP!B$1:B$32,MATCH(COUNTIF(Z18:AI18,PVO!A$19),ETAPP!A$1:A$32,0))</f>
        <v>AA0BA0A00A000000000</v>
      </c>
      <c r="T18" s="351" t="str">
        <f t="shared" si="11"/>
        <v>114,0-AA0BA0A00A000000000</v>
      </c>
      <c r="U18" s="351">
        <f t="shared" si="12"/>
        <v>12</v>
      </c>
      <c r="V18" s="351">
        <f t="shared" si="13"/>
        <v>17</v>
      </c>
      <c r="W18" s="351" t="str">
        <f t="shared" si="14"/>
        <v>114,0-AA0BA0A00A000000000-017</v>
      </c>
      <c r="X18" s="351">
        <f t="shared" si="15"/>
        <v>12</v>
      </c>
      <c r="Y18" s="352">
        <f t="shared" si="16"/>
        <v>41</v>
      </c>
      <c r="Z18" s="353" t="str">
        <f>IFERROR(INDEX('V1'!C$300:C$400,MATCH("*"&amp;L18&amp;"*",'V1'!B$300:B$400,0)),"  ")</f>
        <v xml:space="preserve">  </v>
      </c>
      <c r="AA18" s="353" t="str">
        <f>IFERROR(INDEX('V2'!C$300:C$395,MATCH("*"&amp;L18&amp;"*",'V2'!B$300:B$395,0)),"  ")</f>
        <v xml:space="preserve">  </v>
      </c>
      <c r="AB18" s="353">
        <f>IFERROR(INDEX('V3'!C$300:C$400,MATCH("*"&amp;L18&amp;"*",'V3'!B$300:B$400,0)),"  ")</f>
        <v>20</v>
      </c>
      <c r="AC18" s="353">
        <f>IFERROR(INDEX('V4'!C$300:C$400,MATCH("*"&amp;L18&amp;"*",'V4'!B$300:B$400,0)),"  ")</f>
        <v>16</v>
      </c>
      <c r="AD18" s="353">
        <f>IFERROR(INDEX('V5'!C$300:C$400,MATCH("*"&amp;L18&amp;"*",'V5'!B$300:B$400,0)),"  ")</f>
        <v>17</v>
      </c>
      <c r="AE18" s="353">
        <f>IFERROR(INDEX('V6'!C$300:C$400,MATCH("*"&amp;L18&amp;"*",'V6'!B$300:B$400,0)),"  ")</f>
        <v>17</v>
      </c>
      <c r="AF18" s="353">
        <f>IFERROR(INDEX('V7'!C$300:C$400,MATCH("*"&amp;L18&amp;"*",'V7'!B$300:B$400,0)),"  ")</f>
        <v>11</v>
      </c>
      <c r="AG18" s="353" t="str">
        <f>IFERROR(INDEX('V8'!C$300:C$400,MATCH("*"&amp;L18&amp;"*",'V8'!B$300:B$400,0)),"  ")</f>
        <v xml:space="preserve">  </v>
      </c>
      <c r="AH18" s="353">
        <f>IFERROR(INDEX('V9'!C$300:C$400,MATCH("*"&amp;L18&amp;"*",'V9'!B$300:B$400,0)),"  ")</f>
        <v>19</v>
      </c>
      <c r="AI18" s="353">
        <f>IFERROR(INDEX('V10'!C$300:C$400,MATCH("*"&amp;L18&amp;"*",'V10'!B$300:B$400,0)),"  ")</f>
        <v>14</v>
      </c>
      <c r="AJ18" s="354">
        <f t="shared" si="17"/>
        <v>1</v>
      </c>
      <c r="AK18" s="354">
        <f t="shared" si="18"/>
        <v>41</v>
      </c>
      <c r="AL18" s="355" t="str">
        <f t="shared" si="19"/>
        <v>edasi 12</v>
      </c>
      <c r="AM18" s="356" t="str">
        <f>IFERROR(INDEX(#REF!,MATCH("*"&amp;L18&amp;"*",#REF!,0)),"  ")</f>
        <v xml:space="preserve">  </v>
      </c>
      <c r="AN18" s="357">
        <f t="shared" si="20"/>
        <v>7</v>
      </c>
      <c r="AO18" s="358">
        <f t="shared" si="21"/>
        <v>2</v>
      </c>
      <c r="AP18" s="358">
        <f t="shared" si="22"/>
        <v>1</v>
      </c>
      <c r="AQ18" s="267"/>
      <c r="AR18" s="359"/>
      <c r="AS18" s="360"/>
      <c r="AT18" s="360"/>
      <c r="AU18" s="360"/>
      <c r="AV18" s="360"/>
      <c r="AW18" s="359">
        <f t="shared" si="23"/>
        <v>1E-4</v>
      </c>
      <c r="AX18" s="360">
        <f t="shared" si="24"/>
        <v>1E-4</v>
      </c>
      <c r="AY18" s="360">
        <f t="shared" si="25"/>
        <v>2.0000000000000001E-4</v>
      </c>
      <c r="AZ18" s="360">
        <f t="shared" si="26"/>
        <v>20.000299999999999</v>
      </c>
      <c r="BA18" s="360">
        <f t="shared" si="27"/>
        <v>16.000399999999999</v>
      </c>
      <c r="BB18" s="360">
        <f t="shared" si="28"/>
        <v>17.000499999999999</v>
      </c>
      <c r="BC18" s="360">
        <f t="shared" si="29"/>
        <v>17.000599999999999</v>
      </c>
      <c r="BD18" s="360">
        <f t="shared" si="30"/>
        <v>11.0007</v>
      </c>
      <c r="BE18" s="360">
        <f t="shared" si="31"/>
        <v>8.0000000000000004E-4</v>
      </c>
      <c r="BF18" s="360">
        <f t="shared" si="32"/>
        <v>19.000900000000001</v>
      </c>
      <c r="BG18" s="360">
        <f t="shared" si="33"/>
        <v>14.000999999999999</v>
      </c>
    </row>
    <row r="19" spans="1:59" x14ac:dyDescent="0.2">
      <c r="A19" s="337">
        <f t="shared" si="0"/>
        <v>11</v>
      </c>
      <c r="B19" s="338">
        <f t="shared" si="1"/>
        <v>13</v>
      </c>
      <c r="C19" s="339" t="str">
        <f t="shared" si="2"/>
        <v/>
      </c>
      <c r="D19" s="338">
        <f t="shared" si="3"/>
        <v>-987</v>
      </c>
      <c r="E19" s="340">
        <f t="shared" si="4"/>
        <v>12</v>
      </c>
      <c r="F19" s="338">
        <f t="shared" si="5"/>
        <v>13</v>
      </c>
      <c r="G19" s="341" t="str">
        <f t="shared" si="6"/>
        <v/>
      </c>
      <c r="H19" s="338">
        <f t="shared" si="7"/>
        <v>-987</v>
      </c>
      <c r="I19" s="342" t="str">
        <f t="shared" si="8"/>
        <v/>
      </c>
      <c r="J19" s="343">
        <f t="shared" si="9"/>
        <v>-987</v>
      </c>
      <c r="K19" s="302">
        <f t="shared" si="10"/>
        <v>13</v>
      </c>
      <c r="L19" s="344" t="s">
        <v>116</v>
      </c>
      <c r="M19" s="345"/>
      <c r="N19" s="346" t="str">
        <f>IF(M19="","m","")</f>
        <v>m</v>
      </c>
      <c r="O19" s="347"/>
      <c r="P19" s="348"/>
      <c r="Q19" s="349" t="s">
        <v>190</v>
      </c>
      <c r="R19" s="350">
        <f>(IF(COUNT(Z19,AA19,AB19,AC19,AD19,AE19,AF19,AG19,AH19,AI19)&lt;9,SUM(Z19,AA19,AB19,AC19,AD19,AE19,AF19,AG19,AH19,AI19),SUM(LARGE((Z19,AA19,AB19,AC19,AD19,AE19,AF19,AG19,AH19,AI19),{1;2;3;4;5;6;7;8;9}))))</f>
        <v>104</v>
      </c>
      <c r="S19" s="351" t="str">
        <f>INDEX(ETAPP!B$1:B$32,MATCH(COUNTIF(Z19:AI19,PVO!A$1),ETAPP!A$1:A$32,0))&amp;INDEX(ETAPP!B$1:B$32,MATCH(COUNTIF(Z19:AI19,PVO!A$2),ETAPP!A$1:A$32,0))&amp;INDEX(ETAPP!B$1:B$32,MATCH(COUNTIF(Z19:AI19,PVO!A$3),ETAPP!A$1:A$32,0))&amp;INDEX(ETAPP!B$1:B$32,MATCH(COUNTIF(Z19:AI19,PVO!A$4),ETAPP!A$1:A$32,0))&amp;INDEX(ETAPP!B$1:B$32,MATCH(COUNTIF(Z19:AI19,PVO!A$5),ETAPP!A$1:A$32,0))&amp;INDEX(ETAPP!B$1:B$32,MATCH(COUNTIF(Z19:AI19,PVO!A$6),ETAPP!A$1:A$32,0))&amp;INDEX(ETAPP!B$1:B$32,MATCH(COUNTIF(Z19:AI19,PVO!A$7),ETAPP!A$1:A$32,0))&amp;INDEX(ETAPP!B$1:B$32,MATCH(COUNTIF(Z19:AI19,PVO!A$8),ETAPP!A$1:A$32,0))&amp;INDEX(ETAPP!B$1:B$32,MATCH(COUNTIF(Z19:AI19,PVO!A$9),ETAPP!A$1:A$32,0))&amp;INDEX(ETAPP!B$1:B$32,MATCH(COUNTIF(Z19:AI19,PVO!A$10),ETAPP!A$1:A$32,0))&amp;INDEX(ETAPP!B$1:B$32,MATCH(COUNTIF(Z19:AI19,PVO!A$11),ETAPP!A$1:A$32,0))&amp;INDEX(ETAPP!B$1:B$32,MATCH(COUNTIF(Z19:AI19,PVO!A$12),ETAPP!A$1:A$32,0))&amp;INDEX(ETAPP!B$1:B$32,MATCH(COUNTIF(Z19:AI19,PVO!A$13),ETAPP!A$1:A$32,0))&amp;INDEX(ETAPP!B$1:B$32,MATCH(COUNTIF(Z19:AI19,PVO!A$14),ETAPP!A$1:A$32,0))&amp;INDEX(ETAPP!B$1:B$32,MATCH(COUNTIF(Z19:AI19,PVO!A$15),ETAPP!A$1:A$32,0))&amp;INDEX(ETAPP!B$1:B$32,MATCH(COUNTIF(Z19:AI19,PVO!A$16),ETAPP!A$1:A$32,0))&amp;INDEX(ETAPP!B$1:B$32,MATCH(COUNTIF(Z19:AI19,PVO!A$17),ETAPP!A$1:A$32,0))&amp;INDEX(ETAPP!B$1:B$32,MATCH(COUNTIF(Z19:AI19,PVO!A$18),ETAPP!A$1:A$32,0))&amp;INDEX(ETAPP!B$1:B$32,MATCH(COUNTIF(Z19:AI19,PVO!A$19),ETAPP!A$1:A$32,0))</f>
        <v>AAAA0B0000000000000</v>
      </c>
      <c r="T19" s="351" t="str">
        <f t="shared" si="11"/>
        <v>104,0-AAAA0B0000000000000</v>
      </c>
      <c r="U19" s="351">
        <f t="shared" si="12"/>
        <v>13</v>
      </c>
      <c r="V19" s="351">
        <f t="shared" si="13"/>
        <v>47</v>
      </c>
      <c r="W19" s="351" t="str">
        <f t="shared" si="14"/>
        <v>104,0-AAAA0B0000000000000-047</v>
      </c>
      <c r="X19" s="351">
        <f t="shared" si="15"/>
        <v>13</v>
      </c>
      <c r="Y19" s="352">
        <f t="shared" si="16"/>
        <v>40</v>
      </c>
      <c r="Z19" s="353">
        <f>IFERROR(INDEX('V1'!C$300:C$400,MATCH("*"&amp;L19&amp;"*",'V1'!B$300:B$400,0)),"  ")</f>
        <v>15</v>
      </c>
      <c r="AA19" s="353" t="str">
        <f>IFERROR(INDEX('V2'!C$300:C$395,MATCH("*"&amp;L19&amp;"*",'V2'!B$300:B$395,0)),"  ")</f>
        <v xml:space="preserve">  </v>
      </c>
      <c r="AB19" s="353" t="str">
        <f>IFERROR(INDEX('V3'!C$300:C$400,MATCH("*"&amp;L19&amp;"*",'V3'!B$300:B$400,0)),"  ")</f>
        <v xml:space="preserve">  </v>
      </c>
      <c r="AC19" s="353">
        <f>IFERROR(INDEX('V4'!C$300:C$400,MATCH("*"&amp;L19&amp;"*",'V4'!B$300:B$400,0)),"  ")</f>
        <v>19</v>
      </c>
      <c r="AD19" s="353">
        <f>IFERROR(INDEX('V5'!C$300:C$400,MATCH("*"&amp;L19&amp;"*",'V5'!B$300:B$400,0)),"  ")</f>
        <v>18</v>
      </c>
      <c r="AE19" s="353" t="str">
        <f>IFERROR(INDEX('V6'!C$300:C$400,MATCH("*"&amp;L19&amp;"*",'V6'!B$300:B$400,0)),"  ")</f>
        <v xml:space="preserve">  </v>
      </c>
      <c r="AF19" s="353">
        <f>IFERROR(INDEX('V7'!C$300:C$400,MATCH("*"&amp;L19&amp;"*",'V7'!B$300:B$400,0)),"  ")</f>
        <v>17</v>
      </c>
      <c r="AG19" s="353">
        <f>IFERROR(INDEX('V8'!C$300:C$400,MATCH("*"&amp;L19&amp;"*",'V8'!B$300:B$400,0)),"  ")</f>
        <v>20</v>
      </c>
      <c r="AH19" s="353">
        <f>IFERROR(INDEX('V9'!C$300:C$400,MATCH("*"&amp;L19&amp;"*",'V9'!B$300:B$400,0)),"  ")</f>
        <v>15</v>
      </c>
      <c r="AI19" s="353" t="str">
        <f>IFERROR(INDEX('V10'!C$300:C$400,MATCH("*"&amp;L19&amp;"*",'V10'!B$300:B$400,0)),"  ")</f>
        <v xml:space="preserve">  </v>
      </c>
      <c r="AJ19" s="354">
        <f t="shared" si="17"/>
        <v>1</v>
      </c>
      <c r="AK19" s="354">
        <f t="shared" si="18"/>
        <v>40</v>
      </c>
      <c r="AL19" s="355" t="str">
        <f t="shared" si="19"/>
        <v>edasi 13</v>
      </c>
      <c r="AM19" s="356" t="str">
        <f>IFERROR(INDEX(#REF!,MATCH("*"&amp;L19&amp;"*",#REF!,0)),"  ")</f>
        <v xml:space="preserve">  </v>
      </c>
      <c r="AN19" s="357">
        <f t="shared" si="20"/>
        <v>6</v>
      </c>
      <c r="AO19" s="358">
        <f t="shared" si="21"/>
        <v>3</v>
      </c>
      <c r="AP19" s="358">
        <f t="shared" si="22"/>
        <v>1</v>
      </c>
      <c r="AQ19" s="267"/>
      <c r="AR19" s="359"/>
      <c r="AS19" s="360"/>
      <c r="AT19" s="360"/>
      <c r="AU19" s="360"/>
      <c r="AV19" s="360"/>
      <c r="AW19" s="359">
        <f t="shared" si="23"/>
        <v>2.0000000000000001E-4</v>
      </c>
      <c r="AX19" s="360">
        <f t="shared" si="24"/>
        <v>15.0001</v>
      </c>
      <c r="AY19" s="360">
        <f t="shared" si="25"/>
        <v>2.0000000000000001E-4</v>
      </c>
      <c r="AZ19" s="360">
        <f t="shared" si="26"/>
        <v>2.9999999999999997E-4</v>
      </c>
      <c r="BA19" s="360">
        <f t="shared" si="27"/>
        <v>19.000399999999999</v>
      </c>
      <c r="BB19" s="360">
        <f t="shared" si="28"/>
        <v>18.000499999999999</v>
      </c>
      <c r="BC19" s="360">
        <f t="shared" si="29"/>
        <v>5.9999999999999995E-4</v>
      </c>
      <c r="BD19" s="360">
        <f t="shared" si="30"/>
        <v>17.000699999999998</v>
      </c>
      <c r="BE19" s="360">
        <f t="shared" si="31"/>
        <v>20.000800000000002</v>
      </c>
      <c r="BF19" s="360">
        <f t="shared" si="32"/>
        <v>15.0009</v>
      </c>
      <c r="BG19" s="360">
        <f t="shared" si="33"/>
        <v>1E-3</v>
      </c>
    </row>
    <row r="20" spans="1:59" x14ac:dyDescent="0.2">
      <c r="A20" s="337" t="str">
        <f t="shared" si="0"/>
        <v/>
      </c>
      <c r="B20" s="338">
        <f t="shared" si="1"/>
        <v>-986</v>
      </c>
      <c r="C20" s="339" t="str">
        <f t="shared" si="2"/>
        <v/>
      </c>
      <c r="D20" s="338">
        <f t="shared" si="3"/>
        <v>-986</v>
      </c>
      <c r="E20" s="340">
        <f t="shared" si="4"/>
        <v>13</v>
      </c>
      <c r="F20" s="338">
        <f t="shared" si="5"/>
        <v>14</v>
      </c>
      <c r="G20" s="341" t="str">
        <f t="shared" si="6"/>
        <v/>
      </c>
      <c r="H20" s="338">
        <f t="shared" si="7"/>
        <v>-986</v>
      </c>
      <c r="I20" s="342" t="str">
        <f t="shared" si="8"/>
        <v/>
      </c>
      <c r="J20" s="343">
        <f t="shared" si="9"/>
        <v>-986</v>
      </c>
      <c r="K20" s="302">
        <f t="shared" si="10"/>
        <v>14</v>
      </c>
      <c r="L20" s="361" t="s">
        <v>401</v>
      </c>
      <c r="M20" s="345"/>
      <c r="N20" s="346" t="s">
        <v>192</v>
      </c>
      <c r="O20" s="347"/>
      <c r="P20" s="348"/>
      <c r="Q20" s="349"/>
      <c r="R20" s="350">
        <f>(IF(COUNT(Z20,AA20,AB20,AC20,AD20,AE20,AF20,AG20,AH20,AI20)&lt;9,SUM(Z20,AA20,AB20,AC20,AD20,AE20,AF20,AG20,AH20,AI20),SUM(LARGE((Z20,AA20,AB20,AC20,AD20,AE20,AF20,AG20,AH20,AI20),{1;2;3;4;5;6;7;8;9}))))</f>
        <v>103</v>
      </c>
      <c r="S20" s="351" t="str">
        <f>INDEX(ETAPP!B$1:B$32,MATCH(COUNTIF(Z20:AI20,PVO!A$1),ETAPP!A$1:A$32,0))&amp;INDEX(ETAPP!B$1:B$32,MATCH(COUNTIF(Z20:AI20,PVO!A$2),ETAPP!A$1:A$32,0))&amp;INDEX(ETAPP!B$1:B$32,MATCH(COUNTIF(Z20:AI20,PVO!A$3),ETAPP!A$1:A$32,0))&amp;INDEX(ETAPP!B$1:B$32,MATCH(COUNTIF(Z20:AI20,PVO!A$4),ETAPP!A$1:A$32,0))&amp;INDEX(ETAPP!B$1:B$32,MATCH(COUNTIF(Z20:AI20,PVO!A$5),ETAPP!A$1:A$32,0))&amp;INDEX(ETAPP!B$1:B$32,MATCH(COUNTIF(Z20:AI20,PVO!A$6),ETAPP!A$1:A$32,0))&amp;INDEX(ETAPP!B$1:B$32,MATCH(COUNTIF(Z20:AI20,PVO!A$7),ETAPP!A$1:A$32,0))&amp;INDEX(ETAPP!B$1:B$32,MATCH(COUNTIF(Z20:AI20,PVO!A$8),ETAPP!A$1:A$32,0))&amp;INDEX(ETAPP!B$1:B$32,MATCH(COUNTIF(Z20:AI20,PVO!A$9),ETAPP!A$1:A$32,0))&amp;INDEX(ETAPP!B$1:B$32,MATCH(COUNTIF(Z20:AI20,PVO!A$10),ETAPP!A$1:A$32,0))&amp;INDEX(ETAPP!B$1:B$32,MATCH(COUNTIF(Z20:AI20,PVO!A$11),ETAPP!A$1:A$32,0))&amp;INDEX(ETAPP!B$1:B$32,MATCH(COUNTIF(Z20:AI20,PVO!A$12),ETAPP!A$1:A$32,0))&amp;INDEX(ETAPP!B$1:B$32,MATCH(COUNTIF(Z20:AI20,PVO!A$13),ETAPP!A$1:A$32,0))&amp;INDEX(ETAPP!B$1:B$32,MATCH(COUNTIF(Z20:AI20,PVO!A$14),ETAPP!A$1:A$32,0))&amp;INDEX(ETAPP!B$1:B$32,MATCH(COUNTIF(Z20:AI20,PVO!A$15),ETAPP!A$1:A$32,0))&amp;INDEX(ETAPP!B$1:B$32,MATCH(COUNTIF(Z20:AI20,PVO!A$16),ETAPP!A$1:A$32,0))&amp;INDEX(ETAPP!B$1:B$32,MATCH(COUNTIF(Z20:AI20,PVO!A$17),ETAPP!A$1:A$32,0))&amp;INDEX(ETAPP!B$1:B$32,MATCH(COUNTIF(Z20:AI20,PVO!A$18),ETAPP!A$1:A$32,0))&amp;INDEX(ETAPP!B$1:B$32,MATCH(COUNTIF(Z20:AI20,PVO!A$19),ETAPP!A$1:A$32,0))</f>
        <v>AB00B00A00000000000</v>
      </c>
      <c r="T20" s="351" t="str">
        <f t="shared" si="11"/>
        <v>103,0-AB00B00A00000000000</v>
      </c>
      <c r="U20" s="351">
        <f t="shared" si="12"/>
        <v>14</v>
      </c>
      <c r="V20" s="351">
        <f t="shared" si="13"/>
        <v>19</v>
      </c>
      <c r="W20" s="351" t="str">
        <f t="shared" si="14"/>
        <v>103,0-AB00B00A00000000000-019</v>
      </c>
      <c r="X20" s="351">
        <f t="shared" si="15"/>
        <v>14</v>
      </c>
      <c r="Y20" s="352">
        <f t="shared" si="16"/>
        <v>39</v>
      </c>
      <c r="Z20" s="353">
        <f>IFERROR(INDEX('V1'!C$300:C$400,MATCH("*"&amp;L20&amp;"*",'V1'!B$300:B$400,0)),"  ")</f>
        <v>19</v>
      </c>
      <c r="AA20" s="353" t="str">
        <f>IFERROR(INDEX('V2'!C$300:C$395,MATCH("*"&amp;L20&amp;"*",'V2'!B$300:B$395,0)),"  ")</f>
        <v xml:space="preserve">  </v>
      </c>
      <c r="AB20" s="353">
        <f>IFERROR(INDEX('V3'!C$300:C$400,MATCH("*"&amp;L20&amp;"*",'V3'!B$300:B$400,0)),"  ")</f>
        <v>19</v>
      </c>
      <c r="AC20" s="353" t="str">
        <f>IFERROR(INDEX('V4'!C$300:C$400,MATCH("*"&amp;L20&amp;"*",'V4'!B$300:B$400,0)),"  ")</f>
        <v xml:space="preserve">  </v>
      </c>
      <c r="AD20" s="353">
        <f>IFERROR(INDEX('V5'!C$300:C$400,MATCH("*"&amp;L20&amp;"*",'V5'!B$300:B$400,0)),"  ")</f>
        <v>20</v>
      </c>
      <c r="AE20" s="353">
        <f>IFERROR(INDEX('V6'!C$300:C$400,MATCH("*"&amp;L20&amp;"*",'V6'!B$300:B$400,0)),"  ")</f>
        <v>16</v>
      </c>
      <c r="AF20" s="353">
        <f>IFERROR(INDEX('V7'!C$300:C$400,MATCH("*"&amp;L20&amp;"*",'V7'!B$300:B$400,0)),"  ")</f>
        <v>13</v>
      </c>
      <c r="AG20" s="353" t="str">
        <f>IFERROR(INDEX('V8'!C$300:C$400,MATCH("*"&amp;L20&amp;"*",'V8'!B$300:B$400,0)),"  ")</f>
        <v xml:space="preserve">  </v>
      </c>
      <c r="AH20" s="353" t="str">
        <f>IFERROR(INDEX('V9'!C$300:C$400,MATCH("*"&amp;L20&amp;"*",'V9'!B$300:B$400,0)),"  ")</f>
        <v xml:space="preserve">  </v>
      </c>
      <c r="AI20" s="353">
        <f>IFERROR(INDEX('V10'!C$300:C$400,MATCH("*"&amp;L20&amp;"*",'V10'!B$300:B$400,0)),"  ")</f>
        <v>16</v>
      </c>
      <c r="AJ20" s="354">
        <f t="shared" si="17"/>
        <v>1</v>
      </c>
      <c r="AK20" s="354">
        <f t="shared" si="18"/>
        <v>39</v>
      </c>
      <c r="AL20" s="355" t="str">
        <f t="shared" si="19"/>
        <v>edasi 14</v>
      </c>
      <c r="AM20" s="356" t="str">
        <f>IFERROR(INDEX(#REF!,MATCH("*"&amp;L20&amp;"*",#REF!,0)),"  ")</f>
        <v xml:space="preserve">  </v>
      </c>
      <c r="AN20" s="357">
        <f t="shared" si="20"/>
        <v>6</v>
      </c>
      <c r="AO20" s="358">
        <f t="shared" si="21"/>
        <v>3</v>
      </c>
      <c r="AP20" s="358">
        <f t="shared" si="22"/>
        <v>1</v>
      </c>
      <c r="AQ20" s="267"/>
      <c r="AR20" s="359"/>
      <c r="AS20" s="360"/>
      <c r="AT20" s="360"/>
      <c r="AU20" s="360"/>
      <c r="AV20" s="360"/>
      <c r="AW20" s="359">
        <f t="shared" si="23"/>
        <v>2.0000000000000001E-4</v>
      </c>
      <c r="AX20" s="360">
        <f t="shared" si="24"/>
        <v>19.0001</v>
      </c>
      <c r="AY20" s="360">
        <f t="shared" si="25"/>
        <v>2.0000000000000001E-4</v>
      </c>
      <c r="AZ20" s="360">
        <f t="shared" si="26"/>
        <v>19.000299999999999</v>
      </c>
      <c r="BA20" s="360">
        <f t="shared" si="27"/>
        <v>4.0000000000000002E-4</v>
      </c>
      <c r="BB20" s="360">
        <f t="shared" si="28"/>
        <v>20.000499999999999</v>
      </c>
      <c r="BC20" s="360">
        <f t="shared" si="29"/>
        <v>16.000599999999999</v>
      </c>
      <c r="BD20" s="360">
        <f t="shared" si="30"/>
        <v>13.0007</v>
      </c>
      <c r="BE20" s="360">
        <f t="shared" si="31"/>
        <v>8.0000000000000004E-4</v>
      </c>
      <c r="BF20" s="360">
        <f t="shared" si="32"/>
        <v>8.9999999999999998E-4</v>
      </c>
      <c r="BG20" s="360">
        <f t="shared" si="33"/>
        <v>16.001000000000001</v>
      </c>
    </row>
    <row r="21" spans="1:59" x14ac:dyDescent="0.2">
      <c r="A21" s="337">
        <f t="shared" si="0"/>
        <v>12</v>
      </c>
      <c r="B21" s="338">
        <f t="shared" si="1"/>
        <v>15</v>
      </c>
      <c r="C21" s="339" t="str">
        <f t="shared" si="2"/>
        <v/>
      </c>
      <c r="D21" s="338">
        <f t="shared" si="3"/>
        <v>-985</v>
      </c>
      <c r="E21" s="340">
        <f t="shared" si="4"/>
        <v>14</v>
      </c>
      <c r="F21" s="338">
        <f t="shared" si="5"/>
        <v>15</v>
      </c>
      <c r="G21" s="341" t="str">
        <f t="shared" si="6"/>
        <v/>
      </c>
      <c r="H21" s="338">
        <f t="shared" si="7"/>
        <v>-985</v>
      </c>
      <c r="I21" s="342" t="str">
        <f t="shared" si="8"/>
        <v/>
      </c>
      <c r="J21" s="343">
        <f t="shared" si="9"/>
        <v>-985</v>
      </c>
      <c r="K21" s="302">
        <f t="shared" si="10"/>
        <v>15</v>
      </c>
      <c r="L21" s="361" t="s">
        <v>145</v>
      </c>
      <c r="M21" s="345"/>
      <c r="N21" s="346" t="s">
        <v>192</v>
      </c>
      <c r="O21" s="347"/>
      <c r="P21" s="348"/>
      <c r="Q21" s="349" t="s">
        <v>190</v>
      </c>
      <c r="R21" s="350">
        <f>(IF(COUNT(Z21,AA21,AB21,AC21,AD21,AE21,AF21,AG21,AH21,AI21)&lt;9,SUM(Z21,AA21,AB21,AC21,AD21,AE21,AF21,AG21,AH21,AI21),SUM(LARGE((Z21,AA21,AB21,AC21,AD21,AE21,AF21,AG21,AH21,AI21),{1;2;3;4;5;6;7;8;9}))))</f>
        <v>103</v>
      </c>
      <c r="S21" s="351" t="str">
        <f>INDEX(ETAPP!B$1:B$32,MATCH(COUNTIF(Z21:AI21,PVO!A$1),ETAPP!A$1:A$32,0))&amp;INDEX(ETAPP!B$1:B$32,MATCH(COUNTIF(Z21:AI21,PVO!A$2),ETAPP!A$1:A$32,0))&amp;INDEX(ETAPP!B$1:B$32,MATCH(COUNTIF(Z21:AI21,PVO!A$3),ETAPP!A$1:A$32,0))&amp;INDEX(ETAPP!B$1:B$32,MATCH(COUNTIF(Z21:AI21,PVO!A$4),ETAPP!A$1:A$32,0))&amp;INDEX(ETAPP!B$1:B$32,MATCH(COUNTIF(Z21:AI21,PVO!A$5),ETAPP!A$1:A$32,0))&amp;INDEX(ETAPP!B$1:B$32,MATCH(COUNTIF(Z21:AI21,PVO!A$6),ETAPP!A$1:A$32,0))&amp;INDEX(ETAPP!B$1:B$32,MATCH(COUNTIF(Z21:AI21,PVO!A$7),ETAPP!A$1:A$32,0))&amp;INDEX(ETAPP!B$1:B$32,MATCH(COUNTIF(Z21:AI21,PVO!A$8),ETAPP!A$1:A$32,0))&amp;INDEX(ETAPP!B$1:B$32,MATCH(COUNTIF(Z21:AI21,PVO!A$9),ETAPP!A$1:A$32,0))&amp;INDEX(ETAPP!B$1:B$32,MATCH(COUNTIF(Z21:AI21,PVO!A$10),ETAPP!A$1:A$32,0))&amp;INDEX(ETAPP!B$1:B$32,MATCH(COUNTIF(Z21:AI21,PVO!A$11),ETAPP!A$1:A$32,0))&amp;INDEX(ETAPP!B$1:B$32,MATCH(COUNTIF(Z21:AI21,PVO!A$12),ETAPP!A$1:A$32,0))&amp;INDEX(ETAPP!B$1:B$32,MATCH(COUNTIF(Z21:AI21,PVO!A$13),ETAPP!A$1:A$32,0))&amp;INDEX(ETAPP!B$1:B$32,MATCH(COUNTIF(Z21:AI21,PVO!A$14),ETAPP!A$1:A$32,0))&amp;INDEX(ETAPP!B$1:B$32,MATCH(COUNTIF(Z21:AI21,PVO!A$15),ETAPP!A$1:A$32,0))&amp;INDEX(ETAPP!B$1:B$32,MATCH(COUNTIF(Z21:AI21,PVO!A$16),ETAPP!A$1:A$32,0))&amp;INDEX(ETAPP!B$1:B$32,MATCH(COUNTIF(Z21:AI21,PVO!A$17),ETAPP!A$1:A$32,0))&amp;INDEX(ETAPP!B$1:B$32,MATCH(COUNTIF(Z21:AI21,PVO!A$18),ETAPP!A$1:A$32,0))&amp;INDEX(ETAPP!B$1:B$32,MATCH(COUNTIF(Z21:AI21,PVO!A$19),ETAPP!A$1:A$32,0))</f>
        <v>AA0BA0A000000000000</v>
      </c>
      <c r="T21" s="351" t="str">
        <f t="shared" si="11"/>
        <v>103,0-AA0BA0A000000000000</v>
      </c>
      <c r="U21" s="351">
        <f t="shared" si="12"/>
        <v>15</v>
      </c>
      <c r="V21" s="351">
        <f t="shared" si="13"/>
        <v>9</v>
      </c>
      <c r="W21" s="351" t="str">
        <f t="shared" si="14"/>
        <v>103,0-AA0BA0A000000000000-009</v>
      </c>
      <c r="X21" s="351">
        <f t="shared" si="15"/>
        <v>15</v>
      </c>
      <c r="Y21" s="352">
        <f t="shared" si="16"/>
        <v>38</v>
      </c>
      <c r="Z21" s="353" t="str">
        <f>IFERROR(INDEX('V1'!C$300:C$400,MATCH("*"&amp;L21&amp;"*",'V1'!B$300:B$400,0)),"  ")</f>
        <v xml:space="preserve">  </v>
      </c>
      <c r="AA21" s="353" t="str">
        <f>IFERROR(INDEX('V2'!C$300:C$395,MATCH("*"&amp;L21&amp;"*",'V2'!B$300:B$395,0)),"  ")</f>
        <v xml:space="preserve">  </v>
      </c>
      <c r="AB21" s="353">
        <f>IFERROR(INDEX('V3'!C$300:C$400,MATCH("*"&amp;L21&amp;"*",'V3'!B$300:B$400,0)),"  ")</f>
        <v>20</v>
      </c>
      <c r="AC21" s="353">
        <f>IFERROR(INDEX('V4'!C$300:C$400,MATCH("*"&amp;L21&amp;"*",'V4'!B$300:B$400,0)),"  ")</f>
        <v>16</v>
      </c>
      <c r="AD21" s="353">
        <f>IFERROR(INDEX('V5'!C$300:C$400,MATCH("*"&amp;L21&amp;"*",'V5'!B$300:B$400,0)),"  ")</f>
        <v>17</v>
      </c>
      <c r="AE21" s="353">
        <f>IFERROR(INDEX('V6'!C$300:C$400,MATCH("*"&amp;L21&amp;"*",'V6'!B$300:B$400,0)),"  ")</f>
        <v>17</v>
      </c>
      <c r="AF21" s="353" t="str">
        <f>IFERROR(INDEX('V7'!C$300:C$400,MATCH("*"&amp;L21&amp;"*",'V7'!B$300:B$400,0)),"  ")</f>
        <v xml:space="preserve">  </v>
      </c>
      <c r="AG21" s="353" t="str">
        <f>IFERROR(INDEX('V8'!C$300:C$400,MATCH("*"&amp;L21&amp;"*",'V8'!B$300:B$400,0)),"  ")</f>
        <v xml:space="preserve">  </v>
      </c>
      <c r="AH21" s="353">
        <f>IFERROR(INDEX('V9'!C$300:C$400,MATCH("*"&amp;L21&amp;"*",'V9'!B$300:B$400,0)),"  ")</f>
        <v>19</v>
      </c>
      <c r="AI21" s="353">
        <f>IFERROR(INDEX('V10'!C$300:C$400,MATCH("*"&amp;L21&amp;"*",'V10'!B$300:B$400,0)),"  ")</f>
        <v>14</v>
      </c>
      <c r="AJ21" s="354">
        <f t="shared" si="17"/>
        <v>1</v>
      </c>
      <c r="AK21" s="354">
        <f t="shared" si="18"/>
        <v>38</v>
      </c>
      <c r="AL21" s="355" t="str">
        <f t="shared" si="19"/>
        <v>edasi 15</v>
      </c>
      <c r="AM21" s="356" t="str">
        <f>IFERROR(INDEX(#REF!,MATCH("*"&amp;L21&amp;"*",#REF!,0)),"  ")</f>
        <v xml:space="preserve">  </v>
      </c>
      <c r="AN21" s="357">
        <f t="shared" si="20"/>
        <v>6</v>
      </c>
      <c r="AO21" s="358">
        <f t="shared" si="21"/>
        <v>2</v>
      </c>
      <c r="AP21" s="358">
        <f t="shared" si="22"/>
        <v>1</v>
      </c>
      <c r="AQ21" s="267"/>
      <c r="AR21" s="359"/>
      <c r="AS21" s="360"/>
      <c r="AT21" s="360"/>
      <c r="AU21" s="360"/>
      <c r="AV21" s="360"/>
      <c r="AW21" s="359">
        <f t="shared" si="23"/>
        <v>1E-4</v>
      </c>
      <c r="AX21" s="360">
        <f t="shared" si="24"/>
        <v>1E-4</v>
      </c>
      <c r="AY21" s="360">
        <f t="shared" si="25"/>
        <v>2.0000000000000001E-4</v>
      </c>
      <c r="AZ21" s="360">
        <f t="shared" si="26"/>
        <v>20.000299999999999</v>
      </c>
      <c r="BA21" s="360">
        <f t="shared" si="27"/>
        <v>16.000399999999999</v>
      </c>
      <c r="BB21" s="360">
        <f t="shared" si="28"/>
        <v>17.000499999999999</v>
      </c>
      <c r="BC21" s="360">
        <f t="shared" si="29"/>
        <v>17.000599999999999</v>
      </c>
      <c r="BD21" s="360">
        <f t="shared" si="30"/>
        <v>6.9999999999999999E-4</v>
      </c>
      <c r="BE21" s="360">
        <f t="shared" si="31"/>
        <v>8.0000000000000004E-4</v>
      </c>
      <c r="BF21" s="360">
        <f t="shared" si="32"/>
        <v>19.000900000000001</v>
      </c>
      <c r="BG21" s="360">
        <f t="shared" si="33"/>
        <v>14.000999999999999</v>
      </c>
    </row>
    <row r="22" spans="1:59" x14ac:dyDescent="0.2">
      <c r="A22" s="337">
        <f t="shared" si="0"/>
        <v>13</v>
      </c>
      <c r="B22" s="338">
        <f t="shared" si="1"/>
        <v>16</v>
      </c>
      <c r="C22" s="339" t="str">
        <f t="shared" si="2"/>
        <v/>
      </c>
      <c r="D22" s="338">
        <f t="shared" si="3"/>
        <v>-984</v>
      </c>
      <c r="E22" s="340">
        <f t="shared" si="4"/>
        <v>15</v>
      </c>
      <c r="F22" s="338">
        <f t="shared" si="5"/>
        <v>16</v>
      </c>
      <c r="G22" s="341" t="str">
        <f t="shared" si="6"/>
        <v/>
      </c>
      <c r="H22" s="338">
        <f t="shared" si="7"/>
        <v>-984</v>
      </c>
      <c r="I22" s="342" t="str">
        <f t="shared" si="8"/>
        <v/>
      </c>
      <c r="J22" s="343">
        <f t="shared" si="9"/>
        <v>-984</v>
      </c>
      <c r="K22" s="302">
        <f t="shared" si="10"/>
        <v>16</v>
      </c>
      <c r="L22" s="362" t="s">
        <v>117</v>
      </c>
      <c r="M22" s="345"/>
      <c r="N22" s="346" t="s">
        <v>192</v>
      </c>
      <c r="O22" s="347"/>
      <c r="P22" s="348"/>
      <c r="Q22" s="349" t="s">
        <v>190</v>
      </c>
      <c r="R22" s="350">
        <f>(IF(COUNT(Z22,AA22,AB22,AC22,AD22,AE22,AF22,AG22,AH22,AI22)&lt;9,SUM(Z22,AA22,AB22,AC22,AD22,AE22,AF22,AG22,AH22,AI22),SUM(LARGE((Z22,AA22,AB22,AC22,AD22,AE22,AF22,AG22,AH22,AI22),{1;2;3;4;5;6;7;8;9}))))</f>
        <v>98</v>
      </c>
      <c r="S22" s="351" t="str">
        <f>INDEX(ETAPP!B$1:B$32,MATCH(COUNTIF(Z22:AI22,PVO!A$1),ETAPP!A$1:A$32,0))&amp;INDEX(ETAPP!B$1:B$32,MATCH(COUNTIF(Z22:AI22,PVO!A$2),ETAPP!A$1:A$32,0))&amp;INDEX(ETAPP!B$1:B$32,MATCH(COUNTIF(Z22:AI22,PVO!A$3),ETAPP!A$1:A$32,0))&amp;INDEX(ETAPP!B$1:B$32,MATCH(COUNTIF(Z22:AI22,PVO!A$4),ETAPP!A$1:A$32,0))&amp;INDEX(ETAPP!B$1:B$32,MATCH(COUNTIF(Z22:AI22,PVO!A$5),ETAPP!A$1:A$32,0))&amp;INDEX(ETAPP!B$1:B$32,MATCH(COUNTIF(Z22:AI22,PVO!A$6),ETAPP!A$1:A$32,0))&amp;INDEX(ETAPP!B$1:B$32,MATCH(COUNTIF(Z22:AI22,PVO!A$7),ETAPP!A$1:A$32,0))&amp;INDEX(ETAPP!B$1:B$32,MATCH(COUNTIF(Z22:AI22,PVO!A$8),ETAPP!A$1:A$32,0))&amp;INDEX(ETAPP!B$1:B$32,MATCH(COUNTIF(Z22:AI22,PVO!A$9),ETAPP!A$1:A$32,0))&amp;INDEX(ETAPP!B$1:B$32,MATCH(COUNTIF(Z22:AI22,PVO!A$10),ETAPP!A$1:A$32,0))&amp;INDEX(ETAPP!B$1:B$32,MATCH(COUNTIF(Z22:AI22,PVO!A$11),ETAPP!A$1:A$32,0))&amp;INDEX(ETAPP!B$1:B$32,MATCH(COUNTIF(Z22:AI22,PVO!A$12),ETAPP!A$1:A$32,0))&amp;INDEX(ETAPP!B$1:B$32,MATCH(COUNTIF(Z22:AI22,PVO!A$13),ETAPP!A$1:A$32,0))&amp;INDEX(ETAPP!B$1:B$32,MATCH(COUNTIF(Z22:AI22,PVO!A$14),ETAPP!A$1:A$32,0))&amp;INDEX(ETAPP!B$1:B$32,MATCH(COUNTIF(Z22:AI22,PVO!A$15),ETAPP!A$1:A$32,0))&amp;INDEX(ETAPP!B$1:B$32,MATCH(COUNTIF(Z22:AI22,PVO!A$16),ETAPP!A$1:A$32,0))&amp;INDEX(ETAPP!B$1:B$32,MATCH(COUNTIF(Z22:AI22,PVO!A$17),ETAPP!A$1:A$32,0))&amp;INDEX(ETAPP!B$1:B$32,MATCH(COUNTIF(Z22:AI22,PVO!A$18),ETAPP!A$1:A$32,0))&amp;INDEX(ETAPP!B$1:B$32,MATCH(COUNTIF(Z22:AI22,PVO!A$19),ETAPP!A$1:A$32,0))</f>
        <v>0AA000AB0AA00000000</v>
      </c>
      <c r="T22" s="351" t="str">
        <f t="shared" si="11"/>
        <v>098,0-0AA000AB0AA00000000</v>
      </c>
      <c r="U22" s="351">
        <f t="shared" si="12"/>
        <v>16</v>
      </c>
      <c r="V22" s="351">
        <f t="shared" si="13"/>
        <v>49</v>
      </c>
      <c r="W22" s="351" t="str">
        <f t="shared" si="14"/>
        <v>098,0-0AA000AB0AA00000000-049</v>
      </c>
      <c r="X22" s="351">
        <f t="shared" si="15"/>
        <v>16</v>
      </c>
      <c r="Y22" s="352">
        <f t="shared" si="16"/>
        <v>37</v>
      </c>
      <c r="Z22" s="353" t="str">
        <f>IFERROR(INDEX('V1'!C$300:C$400,MATCH("*"&amp;L22&amp;"*",'V1'!B$300:B$400,0)),"  ")</f>
        <v xml:space="preserve">  </v>
      </c>
      <c r="AA22" s="353">
        <f>IFERROR(INDEX('V2'!C$300:C$395,MATCH("*"&amp;L22&amp;"*",'V2'!B$300:B$395,0)),"  ")</f>
        <v>14</v>
      </c>
      <c r="AB22" s="353">
        <f>IFERROR(INDEX('V3'!C$300:C$400,MATCH("*"&amp;L22&amp;"*",'V3'!B$300:B$400,0)),"  ")</f>
        <v>11</v>
      </c>
      <c r="AC22" s="353">
        <f>IFERROR(INDEX('V4'!C$300:C$400,MATCH("*"&amp;L22&amp;"*",'V4'!B$300:B$400,0)),"  ")</f>
        <v>13</v>
      </c>
      <c r="AD22" s="353">
        <f>IFERROR(INDEX('V5'!C$300:C$400,MATCH("*"&amp;L22&amp;"*",'V5'!B$300:B$400,0)),"  ")</f>
        <v>13</v>
      </c>
      <c r="AE22" s="353">
        <f>IFERROR(INDEX('V6'!C$300:C$400,MATCH("*"&amp;L22&amp;"*",'V6'!B$300:B$400,0)),"  ")</f>
        <v>18</v>
      </c>
      <c r="AF22" s="353">
        <f>IFERROR(INDEX('V7'!C$300:C$400,MATCH("*"&amp;L22&amp;"*",'V7'!B$300:B$400,0)),"  ")</f>
        <v>19</v>
      </c>
      <c r="AG22" s="353" t="str">
        <f>IFERROR(INDEX('V8'!C$300:C$400,MATCH("*"&amp;L22&amp;"*",'V8'!B$300:B$400,0)),"  ")</f>
        <v xml:space="preserve">  </v>
      </c>
      <c r="AH22" s="353" t="str">
        <f>IFERROR(INDEX('V9'!C$300:C$400,MATCH("*"&amp;L22&amp;"*",'V9'!B$300:B$400,0)),"  ")</f>
        <v xml:space="preserve">  </v>
      </c>
      <c r="AI22" s="353">
        <f>IFERROR(INDEX('V10'!C$300:C$400,MATCH("*"&amp;L22&amp;"*",'V10'!B$300:B$400,0)),"  ")</f>
        <v>10</v>
      </c>
      <c r="AJ22" s="354">
        <f t="shared" si="17"/>
        <v>1</v>
      </c>
      <c r="AK22" s="354">
        <f t="shared" si="18"/>
        <v>37</v>
      </c>
      <c r="AL22" s="355" t="str">
        <f t="shared" si="19"/>
        <v>edasi 16</v>
      </c>
      <c r="AM22" s="356" t="str">
        <f>IFERROR(INDEX(#REF!,MATCH("*"&amp;L22&amp;"*",#REF!,0)),"  ")</f>
        <v xml:space="preserve">  </v>
      </c>
      <c r="AN22" s="357">
        <f t="shared" si="20"/>
        <v>7</v>
      </c>
      <c r="AO22" s="358">
        <f t="shared" si="21"/>
        <v>2</v>
      </c>
      <c r="AP22" s="358">
        <f t="shared" si="22"/>
        <v>0</v>
      </c>
      <c r="AQ22" s="267"/>
      <c r="AR22" s="359"/>
      <c r="AS22" s="360"/>
      <c r="AT22" s="360"/>
      <c r="AU22" s="360"/>
      <c r="AV22" s="360"/>
      <c r="AW22" s="359">
        <f t="shared" si="23"/>
        <v>1E-4</v>
      </c>
      <c r="AX22" s="360">
        <f t="shared" si="24"/>
        <v>1E-4</v>
      </c>
      <c r="AY22" s="360">
        <f t="shared" si="25"/>
        <v>14.0002</v>
      </c>
      <c r="AZ22" s="360">
        <f t="shared" si="26"/>
        <v>11.000299999999999</v>
      </c>
      <c r="BA22" s="360">
        <f t="shared" si="27"/>
        <v>13.000400000000001</v>
      </c>
      <c r="BB22" s="360">
        <f t="shared" si="28"/>
        <v>13.000500000000001</v>
      </c>
      <c r="BC22" s="360">
        <f t="shared" si="29"/>
        <v>18.000599999999999</v>
      </c>
      <c r="BD22" s="360">
        <f t="shared" si="30"/>
        <v>19.000699999999998</v>
      </c>
      <c r="BE22" s="360">
        <f t="shared" si="31"/>
        <v>8.0000000000000004E-4</v>
      </c>
      <c r="BF22" s="360">
        <f t="shared" si="32"/>
        <v>8.9999999999999998E-4</v>
      </c>
      <c r="BG22" s="360">
        <f t="shared" si="33"/>
        <v>10.000999999999999</v>
      </c>
    </row>
    <row r="23" spans="1:59" x14ac:dyDescent="0.2">
      <c r="A23" s="337" t="str">
        <f t="shared" si="0"/>
        <v/>
      </c>
      <c r="B23" s="338">
        <f t="shared" si="1"/>
        <v>-983</v>
      </c>
      <c r="C23" s="339" t="str">
        <f t="shared" si="2"/>
        <v/>
      </c>
      <c r="D23" s="338">
        <f t="shared" si="3"/>
        <v>-983</v>
      </c>
      <c r="E23" s="340">
        <f t="shared" si="4"/>
        <v>16</v>
      </c>
      <c r="F23" s="338">
        <f t="shared" si="5"/>
        <v>17</v>
      </c>
      <c r="G23" s="341" t="str">
        <f t="shared" si="6"/>
        <v/>
      </c>
      <c r="H23" s="338">
        <f t="shared" si="7"/>
        <v>-983</v>
      </c>
      <c r="I23" s="342" t="str">
        <f t="shared" si="8"/>
        <v/>
      </c>
      <c r="J23" s="343">
        <f t="shared" si="9"/>
        <v>-983</v>
      </c>
      <c r="K23" s="302">
        <f t="shared" si="10"/>
        <v>17</v>
      </c>
      <c r="L23" s="344" t="s">
        <v>136</v>
      </c>
      <c r="M23" s="345"/>
      <c r="N23" s="346" t="str">
        <f t="shared" ref="N23:N31" si="34">IF(M23="","m","")</f>
        <v>m</v>
      </c>
      <c r="O23" s="347"/>
      <c r="P23" s="348"/>
      <c r="Q23" s="349"/>
      <c r="R23" s="350">
        <f>(IF(COUNT(Z23,AA23,AB23,AC23,AD23,AE23,AF23,AG23,AH23,AI23)&lt;9,SUM(Z23,AA23,AB23,AC23,AD23,AE23,AF23,AG23,AH23,AI23),SUM(LARGE((Z23,AA23,AB23,AC23,AD23,AE23,AF23,AG23,AH23,AI23),{1;2;3;4;5;6;7;8;9}))))</f>
        <v>94</v>
      </c>
      <c r="S23" s="351" t="str">
        <f>INDEX(ETAPP!B$1:B$32,MATCH(COUNTIF(Z23:AI23,PVO!A$1),ETAPP!A$1:A$32,0))&amp;INDEX(ETAPP!B$1:B$32,MATCH(COUNTIF(Z23:AI23,PVO!A$2),ETAPP!A$1:A$32,0))&amp;INDEX(ETAPP!B$1:B$32,MATCH(COUNTIF(Z23:AI23,PVO!A$3),ETAPP!A$1:A$32,0))&amp;INDEX(ETAPP!B$1:B$32,MATCH(COUNTIF(Z23:AI23,PVO!A$4),ETAPP!A$1:A$32,0))&amp;INDEX(ETAPP!B$1:B$32,MATCH(COUNTIF(Z23:AI23,PVO!A$5),ETAPP!A$1:A$32,0))&amp;INDEX(ETAPP!B$1:B$32,MATCH(COUNTIF(Z23:AI23,PVO!A$6),ETAPP!A$1:A$32,0))&amp;INDEX(ETAPP!B$1:B$32,MATCH(COUNTIF(Z23:AI23,PVO!A$7),ETAPP!A$1:A$32,0))&amp;INDEX(ETAPP!B$1:B$32,MATCH(COUNTIF(Z23:AI23,PVO!A$8),ETAPP!A$1:A$32,0))&amp;INDEX(ETAPP!B$1:B$32,MATCH(COUNTIF(Z23:AI23,PVO!A$9),ETAPP!A$1:A$32,0))&amp;INDEX(ETAPP!B$1:B$32,MATCH(COUNTIF(Z23:AI23,PVO!A$10),ETAPP!A$1:A$32,0))&amp;INDEX(ETAPP!B$1:B$32,MATCH(COUNTIF(Z23:AI23,PVO!A$11),ETAPP!A$1:A$32,0))&amp;INDEX(ETAPP!B$1:B$32,MATCH(COUNTIF(Z23:AI23,PVO!A$12),ETAPP!A$1:A$32,0))&amp;INDEX(ETAPP!B$1:B$32,MATCH(COUNTIF(Z23:AI23,PVO!A$13),ETAPP!A$1:A$32,0))&amp;INDEX(ETAPP!B$1:B$32,MATCH(COUNTIF(Z23:AI23,PVO!A$14),ETAPP!A$1:A$32,0))&amp;INDEX(ETAPP!B$1:B$32,MATCH(COUNTIF(Z23:AI23,PVO!A$15),ETAPP!A$1:A$32,0))&amp;INDEX(ETAPP!B$1:B$32,MATCH(COUNTIF(Z23:AI23,PVO!A$16),ETAPP!A$1:A$32,0))&amp;INDEX(ETAPP!B$1:B$32,MATCH(COUNTIF(Z23:AI23,PVO!A$17),ETAPP!A$1:A$32,0))&amp;INDEX(ETAPP!B$1:B$32,MATCH(COUNTIF(Z23:AI23,PVO!A$18),ETAPP!A$1:A$32,0))&amp;INDEX(ETAPP!B$1:B$32,MATCH(COUNTIF(Z23:AI23,PVO!A$19),ETAPP!A$1:A$32,0))</f>
        <v>00AB0000AB00A000000</v>
      </c>
      <c r="T23" s="351" t="str">
        <f t="shared" si="11"/>
        <v>094,0-00AB0000AB00A000000</v>
      </c>
      <c r="U23" s="351">
        <f t="shared" si="12"/>
        <v>17</v>
      </c>
      <c r="V23" s="351">
        <f t="shared" si="13"/>
        <v>29</v>
      </c>
      <c r="W23" s="351" t="str">
        <f t="shared" si="14"/>
        <v>094,0-00AB0000AB00A000000-029</v>
      </c>
      <c r="X23" s="351">
        <f t="shared" si="15"/>
        <v>17</v>
      </c>
      <c r="Y23" s="352">
        <f t="shared" si="16"/>
        <v>36</v>
      </c>
      <c r="Z23" s="353" t="str">
        <f>IFERROR(INDEX('V1'!C$300:C$400,MATCH("*"&amp;L23&amp;"*",'V1'!B$300:B$400,0)),"  ")</f>
        <v xml:space="preserve">  </v>
      </c>
      <c r="AA23" s="353" t="str">
        <f>IFERROR(INDEX('V2'!C$300:C$395,MATCH("*"&amp;L23&amp;"*",'V2'!B$300:B$395,0)),"  ")</f>
        <v xml:space="preserve">  </v>
      </c>
      <c r="AB23" s="353">
        <f>IFERROR(INDEX('V3'!C$300:C$400,MATCH("*"&amp;L23&amp;"*",'V3'!B$300:B$400,0)),"  ")</f>
        <v>17</v>
      </c>
      <c r="AC23" s="353">
        <f>IFERROR(INDEX('V4'!C$300:C$400,MATCH("*"&amp;L23&amp;"*",'V4'!B$300:B$400,0)),"  ")</f>
        <v>12</v>
      </c>
      <c r="AD23" s="353" t="str">
        <f>IFERROR(INDEX('V5'!C$300:C$400,MATCH("*"&amp;L23&amp;"*",'V5'!B$300:B$400,0)),"  ")</f>
        <v xml:space="preserve">  </v>
      </c>
      <c r="AE23" s="353">
        <f>IFERROR(INDEX('V6'!C$300:C$400,MATCH("*"&amp;L23&amp;"*",'V6'!B$300:B$400,0)),"  ")</f>
        <v>11</v>
      </c>
      <c r="AF23" s="353">
        <f>IFERROR(INDEX('V7'!C$300:C$400,MATCH("*"&amp;L23&amp;"*",'V7'!B$300:B$400,0)),"  ")</f>
        <v>8</v>
      </c>
      <c r="AG23" s="353">
        <f>IFERROR(INDEX('V8'!C$300:C$400,MATCH("*"&amp;L23&amp;"*",'V8'!B$300:B$400,0)),"  ")</f>
        <v>11</v>
      </c>
      <c r="AH23" s="353">
        <f>IFERROR(INDEX('V9'!C$300:C$400,MATCH("*"&amp;L23&amp;"*",'V9'!B$300:B$400,0)),"  ")</f>
        <v>17</v>
      </c>
      <c r="AI23" s="353">
        <f>IFERROR(INDEX('V10'!C$300:C$400,MATCH("*"&amp;L23&amp;"*",'V10'!B$300:B$400,0)),"  ")</f>
        <v>18</v>
      </c>
      <c r="AJ23" s="354">
        <f t="shared" si="17"/>
        <v>1</v>
      </c>
      <c r="AK23" s="354">
        <f t="shared" si="18"/>
        <v>36</v>
      </c>
      <c r="AL23" s="355" t="str">
        <f t="shared" si="19"/>
        <v>edasi 17</v>
      </c>
      <c r="AM23" s="356" t="str">
        <f>IFERROR(INDEX(#REF!,MATCH("*"&amp;L23&amp;"*",#REF!,0)),"  ")</f>
        <v xml:space="preserve">  </v>
      </c>
      <c r="AN23" s="357">
        <f t="shared" si="20"/>
        <v>7</v>
      </c>
      <c r="AO23" s="358">
        <f t="shared" si="21"/>
        <v>1</v>
      </c>
      <c r="AP23" s="358">
        <f t="shared" si="22"/>
        <v>0</v>
      </c>
      <c r="AQ23" s="267"/>
      <c r="AR23" s="359"/>
      <c r="AS23" s="360"/>
      <c r="AT23" s="360"/>
      <c r="AU23" s="360"/>
      <c r="AV23" s="360"/>
      <c r="AW23" s="359">
        <f t="shared" si="23"/>
        <v>1E-4</v>
      </c>
      <c r="AX23" s="360">
        <f t="shared" si="24"/>
        <v>1E-4</v>
      </c>
      <c r="AY23" s="360">
        <f t="shared" si="25"/>
        <v>2.0000000000000001E-4</v>
      </c>
      <c r="AZ23" s="360">
        <f t="shared" si="26"/>
        <v>17.000299999999999</v>
      </c>
      <c r="BA23" s="360">
        <f t="shared" si="27"/>
        <v>12.000400000000001</v>
      </c>
      <c r="BB23" s="360">
        <f t="shared" si="28"/>
        <v>5.0000000000000001E-4</v>
      </c>
      <c r="BC23" s="360">
        <f t="shared" si="29"/>
        <v>11.0006</v>
      </c>
      <c r="BD23" s="360">
        <f t="shared" si="30"/>
        <v>8.0007000000000001</v>
      </c>
      <c r="BE23" s="360">
        <f t="shared" si="31"/>
        <v>11.0008</v>
      </c>
      <c r="BF23" s="360">
        <f t="shared" si="32"/>
        <v>17.000900000000001</v>
      </c>
      <c r="BG23" s="360">
        <f t="shared" si="33"/>
        <v>18.001000000000001</v>
      </c>
    </row>
    <row r="24" spans="1:59" x14ac:dyDescent="0.2">
      <c r="A24" s="337" t="str">
        <f t="shared" si="0"/>
        <v/>
      </c>
      <c r="B24" s="338">
        <f t="shared" si="1"/>
        <v>-982</v>
      </c>
      <c r="C24" s="339" t="str">
        <f t="shared" si="2"/>
        <v/>
      </c>
      <c r="D24" s="338">
        <f t="shared" si="3"/>
        <v>-982</v>
      </c>
      <c r="E24" s="340">
        <f t="shared" si="4"/>
        <v>17</v>
      </c>
      <c r="F24" s="338">
        <f t="shared" si="5"/>
        <v>18</v>
      </c>
      <c r="G24" s="341" t="str">
        <f t="shared" si="6"/>
        <v/>
      </c>
      <c r="H24" s="338">
        <f t="shared" si="7"/>
        <v>-982</v>
      </c>
      <c r="I24" s="342" t="str">
        <f t="shared" si="8"/>
        <v/>
      </c>
      <c r="J24" s="343">
        <f t="shared" si="9"/>
        <v>-982</v>
      </c>
      <c r="K24" s="302">
        <f t="shared" si="10"/>
        <v>18</v>
      </c>
      <c r="L24" s="363" t="s">
        <v>120</v>
      </c>
      <c r="M24" s="345"/>
      <c r="N24" s="346" t="str">
        <f t="shared" si="34"/>
        <v>m</v>
      </c>
      <c r="O24" s="347"/>
      <c r="P24" s="348"/>
      <c r="Q24" s="349"/>
      <c r="R24" s="350">
        <f>(IF(COUNT(Z24,AA24,AB24,AC24,AD24,AE24,AF24,AG24,AH24,AI24)&lt;9,SUM(Z24,AA24,AB24,AC24,AD24,AE24,AF24,AG24,AH24,AI24),SUM(LARGE((Z24,AA24,AB24,AC24,AD24,AE24,AF24,AG24,AH24,AI24),{1;2;3;4;5;6;7;8;9}))))</f>
        <v>92</v>
      </c>
      <c r="S24" s="351" t="str">
        <f>INDEX(ETAPP!B$1:B$32,MATCH(COUNTIF(Z24:AI24,PVO!A$1),ETAPP!A$1:A$32,0))&amp;INDEX(ETAPP!B$1:B$32,MATCH(COUNTIF(Z24:AI24,PVO!A$2),ETAPP!A$1:A$32,0))&amp;INDEX(ETAPP!B$1:B$32,MATCH(COUNTIF(Z24:AI24,PVO!A$3),ETAPP!A$1:A$32,0))&amp;INDEX(ETAPP!B$1:B$32,MATCH(COUNTIF(Z24:AI24,PVO!A$4),ETAPP!A$1:A$32,0))&amp;INDEX(ETAPP!B$1:B$32,MATCH(COUNTIF(Z24:AI24,PVO!A$5),ETAPP!A$1:A$32,0))&amp;INDEX(ETAPP!B$1:B$32,MATCH(COUNTIF(Z24:AI24,PVO!A$6),ETAPP!A$1:A$32,0))&amp;INDEX(ETAPP!B$1:B$32,MATCH(COUNTIF(Z24:AI24,PVO!A$7),ETAPP!A$1:A$32,0))&amp;INDEX(ETAPP!B$1:B$32,MATCH(COUNTIF(Z24:AI24,PVO!A$8),ETAPP!A$1:A$32,0))&amp;INDEX(ETAPP!B$1:B$32,MATCH(COUNTIF(Z24:AI24,PVO!A$9),ETAPP!A$1:A$32,0))&amp;INDEX(ETAPP!B$1:B$32,MATCH(COUNTIF(Z24:AI24,PVO!A$10),ETAPP!A$1:A$32,0))&amp;INDEX(ETAPP!B$1:B$32,MATCH(COUNTIF(Z24:AI24,PVO!A$11),ETAPP!A$1:A$32,0))&amp;INDEX(ETAPP!B$1:B$32,MATCH(COUNTIF(Z24:AI24,PVO!A$12),ETAPP!A$1:A$32,0))&amp;INDEX(ETAPP!B$1:B$32,MATCH(COUNTIF(Z24:AI24,PVO!A$13),ETAPP!A$1:A$32,0))&amp;INDEX(ETAPP!B$1:B$32,MATCH(COUNTIF(Z24:AI24,PVO!A$14),ETAPP!A$1:A$32,0))&amp;INDEX(ETAPP!B$1:B$32,MATCH(COUNTIF(Z24:AI24,PVO!A$15),ETAPP!A$1:A$32,0))&amp;INDEX(ETAPP!B$1:B$32,MATCH(COUNTIF(Z24:AI24,PVO!A$16),ETAPP!A$1:A$32,0))&amp;INDEX(ETAPP!B$1:B$32,MATCH(COUNTIF(Z24:AI24,PVO!A$17),ETAPP!A$1:A$32,0))&amp;INDEX(ETAPP!B$1:B$32,MATCH(COUNTIF(Z24:AI24,PVO!A$18),ETAPP!A$1:A$32,0))&amp;INDEX(ETAPP!B$1:B$32,MATCH(COUNTIF(Z24:AI24,PVO!A$19),ETAPP!A$1:A$32,0))</f>
        <v>00AA0A00AB00A000000</v>
      </c>
      <c r="T24" s="351" t="str">
        <f t="shared" si="11"/>
        <v>092,0-00AA0A00AB00A000000</v>
      </c>
      <c r="U24" s="351">
        <f t="shared" si="12"/>
        <v>18</v>
      </c>
      <c r="V24" s="351">
        <f t="shared" si="13"/>
        <v>8</v>
      </c>
      <c r="W24" s="351" t="str">
        <f t="shared" si="14"/>
        <v>092,0-00AA0A00AB00A000000-008</v>
      </c>
      <c r="X24" s="351">
        <f t="shared" si="15"/>
        <v>18</v>
      </c>
      <c r="Y24" s="352">
        <f t="shared" si="16"/>
        <v>35</v>
      </c>
      <c r="Z24" s="353" t="str">
        <f>IFERROR(INDEX('V1'!C$300:C$400,MATCH("*"&amp;L24&amp;"*",'V1'!B$300:B$400,0)),"  ")</f>
        <v xml:space="preserve">  </v>
      </c>
      <c r="AA24" s="353" t="str">
        <f>IFERROR(INDEX('V2'!C$300:C$395,MATCH("*"&amp;L24&amp;"*",'V2'!B$300:B$395,0)),"  ")</f>
        <v xml:space="preserve">  </v>
      </c>
      <c r="AB24" s="353">
        <f>IFERROR(INDEX('V3'!C$300:C$400,MATCH("*"&amp;L24&amp;"*",'V3'!B$300:B$400,0)),"  ")</f>
        <v>15</v>
      </c>
      <c r="AC24" s="353">
        <f>IFERROR(INDEX('V4'!C$300:C$400,MATCH("*"&amp;L24&amp;"*",'V4'!B$300:B$400,0)),"  ")</f>
        <v>12</v>
      </c>
      <c r="AD24" s="353" t="str">
        <f>IFERROR(INDEX('V5'!C$300:C$400,MATCH("*"&amp;L24&amp;"*",'V5'!B$300:B$400,0)),"  ")</f>
        <v xml:space="preserve">  </v>
      </c>
      <c r="AE24" s="353">
        <f>IFERROR(INDEX('V6'!C$300:C$400,MATCH("*"&amp;L24&amp;"*",'V6'!B$300:B$400,0)),"  ")</f>
        <v>11</v>
      </c>
      <c r="AF24" s="353">
        <f>IFERROR(INDEX('V7'!C$300:C$400,MATCH("*"&amp;L24&amp;"*",'V7'!B$300:B$400,0)),"  ")</f>
        <v>8</v>
      </c>
      <c r="AG24" s="353">
        <f>IFERROR(INDEX('V8'!C$300:C$400,MATCH("*"&amp;L24&amp;"*",'V8'!B$300:B$400,0)),"  ")</f>
        <v>11</v>
      </c>
      <c r="AH24" s="353">
        <f>IFERROR(INDEX('V9'!C$300:C$400,MATCH("*"&amp;L24&amp;"*",'V9'!B$300:B$400,0)),"  ")</f>
        <v>17</v>
      </c>
      <c r="AI24" s="353">
        <f>IFERROR(INDEX('V10'!C$300:C$400,MATCH("*"&amp;L24&amp;"*",'V10'!B$300:B$400,0)),"  ")</f>
        <v>18</v>
      </c>
      <c r="AJ24" s="354">
        <f t="shared" si="17"/>
        <v>1</v>
      </c>
      <c r="AK24" s="354">
        <f t="shared" si="18"/>
        <v>35</v>
      </c>
      <c r="AL24" s="355" t="str">
        <f t="shared" si="19"/>
        <v>edasi 18</v>
      </c>
      <c r="AM24" s="356" t="str">
        <f>IFERROR(INDEX(#REF!,MATCH("*"&amp;L24&amp;"*",#REF!,0)),"  ")</f>
        <v xml:space="preserve">  </v>
      </c>
      <c r="AN24" s="357">
        <f t="shared" si="20"/>
        <v>7</v>
      </c>
      <c r="AO24" s="358">
        <f t="shared" si="21"/>
        <v>1</v>
      </c>
      <c r="AP24" s="358">
        <f t="shared" si="22"/>
        <v>0</v>
      </c>
      <c r="AQ24" s="267"/>
      <c r="AR24" s="359"/>
      <c r="AS24" s="360"/>
      <c r="AT24" s="360"/>
      <c r="AU24" s="360"/>
      <c r="AV24" s="360"/>
      <c r="AW24" s="359">
        <f t="shared" si="23"/>
        <v>1E-4</v>
      </c>
      <c r="AX24" s="360">
        <f t="shared" si="24"/>
        <v>1E-4</v>
      </c>
      <c r="AY24" s="360">
        <f t="shared" si="25"/>
        <v>2.0000000000000001E-4</v>
      </c>
      <c r="AZ24" s="360">
        <f t="shared" si="26"/>
        <v>15.000299999999999</v>
      </c>
      <c r="BA24" s="360">
        <f t="shared" si="27"/>
        <v>12.000400000000001</v>
      </c>
      <c r="BB24" s="360">
        <f t="shared" si="28"/>
        <v>5.0000000000000001E-4</v>
      </c>
      <c r="BC24" s="360">
        <f t="shared" si="29"/>
        <v>11.0006</v>
      </c>
      <c r="BD24" s="360">
        <f t="shared" si="30"/>
        <v>8.0007000000000001</v>
      </c>
      <c r="BE24" s="360">
        <f t="shared" si="31"/>
        <v>11.0008</v>
      </c>
      <c r="BF24" s="360">
        <f t="shared" si="32"/>
        <v>17.000900000000001</v>
      </c>
      <c r="BG24" s="360">
        <f t="shared" si="33"/>
        <v>18.001000000000001</v>
      </c>
    </row>
    <row r="25" spans="1:59" x14ac:dyDescent="0.2">
      <c r="A25" s="337">
        <f t="shared" si="0"/>
        <v>14</v>
      </c>
      <c r="B25" s="338">
        <f t="shared" si="1"/>
        <v>19</v>
      </c>
      <c r="C25" s="339">
        <f t="shared" si="2"/>
        <v>6</v>
      </c>
      <c r="D25" s="338">
        <f t="shared" si="3"/>
        <v>19</v>
      </c>
      <c r="E25" s="340">
        <f t="shared" si="4"/>
        <v>18</v>
      </c>
      <c r="F25" s="338">
        <f t="shared" si="5"/>
        <v>19</v>
      </c>
      <c r="G25" s="341" t="str">
        <f t="shared" si="6"/>
        <v/>
      </c>
      <c r="H25" s="338">
        <f t="shared" si="7"/>
        <v>-981</v>
      </c>
      <c r="I25" s="342" t="str">
        <f t="shared" si="8"/>
        <v/>
      </c>
      <c r="J25" s="343">
        <f t="shared" si="9"/>
        <v>-981</v>
      </c>
      <c r="K25" s="302">
        <f t="shared" si="10"/>
        <v>19</v>
      </c>
      <c r="L25" s="344" t="s">
        <v>9</v>
      </c>
      <c r="M25" s="345"/>
      <c r="N25" s="346" t="str">
        <f t="shared" si="34"/>
        <v>m</v>
      </c>
      <c r="O25" s="347"/>
      <c r="P25" s="348" t="s">
        <v>191</v>
      </c>
      <c r="Q25" s="349" t="s">
        <v>190</v>
      </c>
      <c r="R25" s="350">
        <f>(IF(COUNT(Z25,AA25,AB25,AC25,AD25,AE25,AF25,AG25,AH25,AI25)&lt;9,SUM(Z25,AA25,AB25,AC25,AD25,AE25,AF25,AG25,AH25,AI25),SUM(LARGE((Z25,AA25,AB25,AC25,AD25,AE25,AF25,AG25,AH25,AI25),{1;2;3;4;5;6;7;8;9}))))</f>
        <v>80</v>
      </c>
      <c r="S25" s="351" t="str">
        <f>INDEX(ETAPP!B$1:B$32,MATCH(COUNTIF(Z25:AI25,PVO!A$1),ETAPP!A$1:A$32,0))&amp;INDEX(ETAPP!B$1:B$32,MATCH(COUNTIF(Z25:AI25,PVO!A$2),ETAPP!A$1:A$32,0))&amp;INDEX(ETAPP!B$1:B$32,MATCH(COUNTIF(Z25:AI25,PVO!A$3),ETAPP!A$1:A$32,0))&amp;INDEX(ETAPP!B$1:B$32,MATCH(COUNTIF(Z25:AI25,PVO!A$4),ETAPP!A$1:A$32,0))&amp;INDEX(ETAPP!B$1:B$32,MATCH(COUNTIF(Z25:AI25,PVO!A$5),ETAPP!A$1:A$32,0))&amp;INDEX(ETAPP!B$1:B$32,MATCH(COUNTIF(Z25:AI25,PVO!A$6),ETAPP!A$1:A$32,0))&amp;INDEX(ETAPP!B$1:B$32,MATCH(COUNTIF(Z25:AI25,PVO!A$7),ETAPP!A$1:A$32,0))&amp;INDEX(ETAPP!B$1:B$32,MATCH(COUNTIF(Z25:AI25,PVO!A$8),ETAPP!A$1:A$32,0))&amp;INDEX(ETAPP!B$1:B$32,MATCH(COUNTIF(Z25:AI25,PVO!A$9),ETAPP!A$1:A$32,0))&amp;INDEX(ETAPP!B$1:B$32,MATCH(COUNTIF(Z25:AI25,PVO!A$10),ETAPP!A$1:A$32,0))&amp;INDEX(ETAPP!B$1:B$32,MATCH(COUNTIF(Z25:AI25,PVO!A$11),ETAPP!A$1:A$32,0))&amp;INDEX(ETAPP!B$1:B$32,MATCH(COUNTIF(Z25:AI25,PVO!A$12),ETAPP!A$1:A$32,0))&amp;INDEX(ETAPP!B$1:B$32,MATCH(COUNTIF(Z25:AI25,PVO!A$13),ETAPP!A$1:A$32,0))&amp;INDEX(ETAPP!B$1:B$32,MATCH(COUNTIF(Z25:AI25,PVO!A$14),ETAPP!A$1:A$32,0))&amp;INDEX(ETAPP!B$1:B$32,MATCH(COUNTIF(Z25:AI25,PVO!A$15),ETAPP!A$1:A$32,0))&amp;INDEX(ETAPP!B$1:B$32,MATCH(COUNTIF(Z25:AI25,PVO!A$16),ETAPP!A$1:A$32,0))&amp;INDEX(ETAPP!B$1:B$32,MATCH(COUNTIF(Z25:AI25,PVO!A$17),ETAPP!A$1:A$32,0))&amp;INDEX(ETAPP!B$1:B$32,MATCH(COUNTIF(Z25:AI25,PVO!A$18),ETAPP!A$1:A$32,0))&amp;INDEX(ETAPP!B$1:B$32,MATCH(COUNTIF(Z25:AI25,PVO!A$19),ETAPP!A$1:A$32,0))</f>
        <v>0A0B00AA00000000000</v>
      </c>
      <c r="T25" s="351" t="str">
        <f t="shared" si="11"/>
        <v>080,0-0A0B00AA00000000000</v>
      </c>
      <c r="U25" s="351">
        <f t="shared" si="12"/>
        <v>19</v>
      </c>
      <c r="V25" s="351">
        <f t="shared" si="13"/>
        <v>36</v>
      </c>
      <c r="W25" s="351" t="str">
        <f t="shared" si="14"/>
        <v>080,0-0A0B00AA00000000000-036</v>
      </c>
      <c r="X25" s="351">
        <f t="shared" si="15"/>
        <v>19</v>
      </c>
      <c r="Y25" s="352">
        <f t="shared" si="16"/>
        <v>34</v>
      </c>
      <c r="Z25" s="353">
        <f>IFERROR(INDEX('V1'!C$300:C$400,MATCH("*"&amp;L25&amp;"*",'V1'!B$300:B$400,0)),"  ")</f>
        <v>19</v>
      </c>
      <c r="AA25" s="353">
        <f>IFERROR(INDEX('V2'!C$300:C$395,MATCH("*"&amp;L25&amp;"*",'V2'!B$300:B$395,0)),"  ")</f>
        <v>17</v>
      </c>
      <c r="AB25" s="353" t="str">
        <f>IFERROR(INDEX('V3'!C$300:C$400,MATCH("*"&amp;L25&amp;"*",'V3'!B$300:B$400,0)),"  ")</f>
        <v xml:space="preserve">  </v>
      </c>
      <c r="AC25" s="353">
        <f>IFERROR(INDEX('V4'!C$300:C$400,MATCH("*"&amp;L25&amp;"*",'V4'!B$300:B$400,0)),"  ")</f>
        <v>17</v>
      </c>
      <c r="AD25" s="353" t="str">
        <f>IFERROR(INDEX('V5'!C$300:C$400,MATCH("*"&amp;L25&amp;"*",'V5'!B$300:B$400,0)),"  ")</f>
        <v xml:space="preserve">  </v>
      </c>
      <c r="AE25" s="353" t="str">
        <f>IFERROR(INDEX('V6'!C$300:C$400,MATCH("*"&amp;L25&amp;"*",'V6'!B$300:B$400,0)),"  ")</f>
        <v xml:space="preserve">  </v>
      </c>
      <c r="AF25" s="353">
        <f>IFERROR(INDEX('V7'!C$300:C$400,MATCH("*"&amp;L25&amp;"*",'V7'!B$300:B$400,0)),"  ")</f>
        <v>14</v>
      </c>
      <c r="AG25" s="353" t="str">
        <f>IFERROR(INDEX('V8'!C$300:C$400,MATCH("*"&amp;L25&amp;"*",'V8'!B$300:B$400,0)),"  ")</f>
        <v xml:space="preserve">  </v>
      </c>
      <c r="AH25" s="353" t="str">
        <f>IFERROR(INDEX('V9'!C$300:C$400,MATCH("*"&amp;L25&amp;"*",'V9'!B$300:B$400,0)),"  ")</f>
        <v xml:space="preserve">  </v>
      </c>
      <c r="AI25" s="353">
        <f>IFERROR(INDEX('V10'!C$300:C$400,MATCH("*"&amp;L25&amp;"*",'V10'!B$300:B$400,0)),"  ")</f>
        <v>13</v>
      </c>
      <c r="AJ25" s="354">
        <f t="shared" si="17"/>
        <v>1</v>
      </c>
      <c r="AK25" s="354">
        <f t="shared" si="18"/>
        <v>34</v>
      </c>
      <c r="AL25" s="355" t="str">
        <f t="shared" si="19"/>
        <v>edasi 19</v>
      </c>
      <c r="AM25" s="356" t="str">
        <f>IFERROR(INDEX(#REF!,MATCH("*"&amp;L25&amp;"*",#REF!,0)),"  ")</f>
        <v xml:space="preserve">  </v>
      </c>
      <c r="AN25" s="357">
        <f t="shared" si="20"/>
        <v>5</v>
      </c>
      <c r="AO25" s="358">
        <f t="shared" si="21"/>
        <v>1</v>
      </c>
      <c r="AP25" s="358">
        <f t="shared" si="22"/>
        <v>0</v>
      </c>
      <c r="AQ25" s="373"/>
      <c r="AR25" s="359"/>
      <c r="AS25" s="360"/>
      <c r="AT25" s="360"/>
      <c r="AU25" s="360"/>
      <c r="AV25" s="360"/>
      <c r="AW25" s="359">
        <f t="shared" si="23"/>
        <v>2.9999999999999997E-4</v>
      </c>
      <c r="AX25" s="360">
        <f t="shared" si="24"/>
        <v>19.0001</v>
      </c>
      <c r="AY25" s="360">
        <f t="shared" si="25"/>
        <v>17.0002</v>
      </c>
      <c r="AZ25" s="360">
        <f t="shared" si="26"/>
        <v>2.9999999999999997E-4</v>
      </c>
      <c r="BA25" s="360">
        <f t="shared" si="27"/>
        <v>17.000399999999999</v>
      </c>
      <c r="BB25" s="360">
        <f t="shared" si="28"/>
        <v>5.0000000000000001E-4</v>
      </c>
      <c r="BC25" s="360">
        <f t="shared" si="29"/>
        <v>5.9999999999999995E-4</v>
      </c>
      <c r="BD25" s="360">
        <f t="shared" si="30"/>
        <v>14.0007</v>
      </c>
      <c r="BE25" s="360">
        <f t="shared" si="31"/>
        <v>8.0000000000000004E-4</v>
      </c>
      <c r="BF25" s="360">
        <f t="shared" si="32"/>
        <v>8.9999999999999998E-4</v>
      </c>
      <c r="BG25" s="360">
        <f t="shared" si="33"/>
        <v>13.000999999999999</v>
      </c>
    </row>
    <row r="26" spans="1:59" x14ac:dyDescent="0.2">
      <c r="A26" s="337">
        <f t="shared" si="0"/>
        <v>15</v>
      </c>
      <c r="B26" s="338">
        <f t="shared" si="1"/>
        <v>20</v>
      </c>
      <c r="C26" s="339">
        <f t="shared" si="2"/>
        <v>7</v>
      </c>
      <c r="D26" s="338">
        <f t="shared" si="3"/>
        <v>20</v>
      </c>
      <c r="E26" s="340">
        <f t="shared" si="4"/>
        <v>19</v>
      </c>
      <c r="F26" s="338">
        <f t="shared" si="5"/>
        <v>20</v>
      </c>
      <c r="G26" s="341" t="str">
        <f t="shared" si="6"/>
        <v/>
      </c>
      <c r="H26" s="338">
        <f t="shared" si="7"/>
        <v>-980</v>
      </c>
      <c r="I26" s="342" t="str">
        <f t="shared" si="8"/>
        <v/>
      </c>
      <c r="J26" s="343">
        <f t="shared" si="9"/>
        <v>-980</v>
      </c>
      <c r="K26" s="302">
        <f t="shared" si="10"/>
        <v>20</v>
      </c>
      <c r="L26" s="344" t="s">
        <v>129</v>
      </c>
      <c r="M26" s="345"/>
      <c r="N26" s="346" t="str">
        <f t="shared" si="34"/>
        <v>m</v>
      </c>
      <c r="O26" s="347"/>
      <c r="P26" s="348" t="s">
        <v>191</v>
      </c>
      <c r="Q26" s="349" t="s">
        <v>190</v>
      </c>
      <c r="R26" s="350">
        <f>(IF(COUNT(Z26,AA26,AB26,AC26,AD26,AE26,AF26,AG26,AH26,AI26)&lt;9,SUM(Z26,AA26,AB26,AC26,AD26,AE26,AF26,AG26,AH26,AI26),SUM(LARGE((Z26,AA26,AB26,AC26,AD26,AE26,AF26,AG26,AH26,AI26),{1;2;3;4;5;6;7;8;9}))))</f>
        <v>75</v>
      </c>
      <c r="S26" s="351" t="str">
        <f>INDEX(ETAPP!B$1:B$32,MATCH(COUNTIF(Z26:AI26,PVO!A$1),ETAPP!A$1:A$32,0))&amp;INDEX(ETAPP!B$1:B$32,MATCH(COUNTIF(Z26:AI26,PVO!A$2),ETAPP!A$1:A$32,0))&amp;INDEX(ETAPP!B$1:B$32,MATCH(COUNTIF(Z26:AI26,PVO!A$3),ETAPP!A$1:A$32,0))&amp;INDEX(ETAPP!B$1:B$32,MATCH(COUNTIF(Z26:AI26,PVO!A$4),ETAPP!A$1:A$32,0))&amp;INDEX(ETAPP!B$1:B$32,MATCH(COUNTIF(Z26:AI26,PVO!A$5),ETAPP!A$1:A$32,0))&amp;INDEX(ETAPP!B$1:B$32,MATCH(COUNTIF(Z26:AI26,PVO!A$6),ETAPP!A$1:A$32,0))&amp;INDEX(ETAPP!B$1:B$32,MATCH(COUNTIF(Z26:AI26,PVO!A$7),ETAPP!A$1:A$32,0))&amp;INDEX(ETAPP!B$1:B$32,MATCH(COUNTIF(Z26:AI26,PVO!A$8),ETAPP!A$1:A$32,0))&amp;INDEX(ETAPP!B$1:B$32,MATCH(COUNTIF(Z26:AI26,PVO!A$9),ETAPP!A$1:A$32,0))&amp;INDEX(ETAPP!B$1:B$32,MATCH(COUNTIF(Z26:AI26,PVO!A$10),ETAPP!A$1:A$32,0))&amp;INDEX(ETAPP!B$1:B$32,MATCH(COUNTIF(Z26:AI26,PVO!A$11),ETAPP!A$1:A$32,0))&amp;INDEX(ETAPP!B$1:B$32,MATCH(COUNTIF(Z26:AI26,PVO!A$12),ETAPP!A$1:A$32,0))&amp;INDEX(ETAPP!B$1:B$32,MATCH(COUNTIF(Z26:AI26,PVO!A$13),ETAPP!A$1:A$32,0))&amp;INDEX(ETAPP!B$1:B$32,MATCH(COUNTIF(Z26:AI26,PVO!A$14),ETAPP!A$1:A$32,0))&amp;INDEX(ETAPP!B$1:B$32,MATCH(COUNTIF(Z26:AI26,PVO!A$15),ETAPP!A$1:A$32,0))&amp;INDEX(ETAPP!B$1:B$32,MATCH(COUNTIF(Z26:AI26,PVO!A$16),ETAPP!A$1:A$32,0))&amp;INDEX(ETAPP!B$1:B$32,MATCH(COUNTIF(Z26:AI26,PVO!A$17),ETAPP!A$1:A$32,0))&amp;INDEX(ETAPP!B$1:B$32,MATCH(COUNTIF(Z26:AI26,PVO!A$18),ETAPP!A$1:A$32,0))&amp;INDEX(ETAPP!B$1:B$32,MATCH(COUNTIF(Z26:AI26,PVO!A$19),ETAPP!A$1:A$32,0))</f>
        <v>000000B0CA000000000</v>
      </c>
      <c r="T26" s="351" t="str">
        <f t="shared" si="11"/>
        <v>075,0-000000B0CA000000000</v>
      </c>
      <c r="U26" s="351">
        <f t="shared" si="12"/>
        <v>20</v>
      </c>
      <c r="V26" s="351">
        <f t="shared" si="13"/>
        <v>44</v>
      </c>
      <c r="W26" s="351" t="str">
        <f t="shared" si="14"/>
        <v>075,0-000000B0CA000000000-044</v>
      </c>
      <c r="X26" s="351">
        <f t="shared" si="15"/>
        <v>20</v>
      </c>
      <c r="Y26" s="352">
        <f t="shared" si="16"/>
        <v>33</v>
      </c>
      <c r="Z26" s="353">
        <f>IFERROR(INDEX('V1'!C$300:C$400,MATCH("*"&amp;L26&amp;"*",'V1'!B$300:B$400,0)),"  ")</f>
        <v>12</v>
      </c>
      <c r="AA26" s="353">
        <f>IFERROR(INDEX('V2'!C$300:C$395,MATCH("*"&amp;L26&amp;"*",'V2'!B$300:B$395,0)),"  ")</f>
        <v>12</v>
      </c>
      <c r="AB26" s="353">
        <f>IFERROR(INDEX('V3'!C$300:C$400,MATCH("*"&amp;L26&amp;"*",'V3'!B$300:B$400,0)),"  ")</f>
        <v>14</v>
      </c>
      <c r="AC26" s="353">
        <f>IFERROR(INDEX('V4'!C$300:C$400,MATCH("*"&amp;L26&amp;"*",'V4'!B$300:B$400,0)),"  ")</f>
        <v>14</v>
      </c>
      <c r="AD26" s="353" t="str">
        <f>IFERROR(INDEX('V5'!C$300:C$400,MATCH("*"&amp;L26&amp;"*",'V5'!B$300:B$400,0)),"  ")</f>
        <v xml:space="preserve">  </v>
      </c>
      <c r="AE26" s="353">
        <f>IFERROR(INDEX('V6'!C$300:C$400,MATCH("*"&amp;L26&amp;"*",'V6'!B$300:B$400,0)),"  ")</f>
        <v>12</v>
      </c>
      <c r="AF26" s="353" t="str">
        <f>IFERROR(INDEX('V7'!C$300:C$400,MATCH("*"&amp;L26&amp;"*",'V7'!B$300:B$400,0)),"  ")</f>
        <v xml:space="preserve">  </v>
      </c>
      <c r="AG26" s="353" t="str">
        <f>IFERROR(INDEX('V8'!C$300:C$400,MATCH("*"&amp;L26&amp;"*",'V8'!B$300:B$400,0)),"  ")</f>
        <v xml:space="preserve">  </v>
      </c>
      <c r="AH26" s="353" t="str">
        <f>IFERROR(INDEX('V9'!C$300:C$400,MATCH("*"&amp;L26&amp;"*",'V9'!B$300:B$400,0)),"  ")</f>
        <v xml:space="preserve">  </v>
      </c>
      <c r="AI26" s="353">
        <f>IFERROR(INDEX('V10'!C$300:C$400,MATCH("*"&amp;L26&amp;"*",'V10'!B$300:B$400,0)),"  ")</f>
        <v>11</v>
      </c>
      <c r="AJ26" s="354">
        <f t="shared" si="17"/>
        <v>1</v>
      </c>
      <c r="AK26" s="354">
        <f t="shared" si="18"/>
        <v>33</v>
      </c>
      <c r="AL26" s="355" t="str">
        <f t="shared" si="19"/>
        <v>edasi 20</v>
      </c>
      <c r="AM26" s="356" t="str">
        <f>IFERROR(INDEX(#REF!,MATCH("*"&amp;L26&amp;"*",#REF!,0)),"  ")</f>
        <v xml:space="preserve">  </v>
      </c>
      <c r="AN26" s="357">
        <f t="shared" si="20"/>
        <v>6</v>
      </c>
      <c r="AO26" s="358">
        <f t="shared" si="21"/>
        <v>0</v>
      </c>
      <c r="AP26" s="358">
        <f t="shared" si="22"/>
        <v>0</v>
      </c>
      <c r="AQ26" s="267"/>
      <c r="AR26" s="359"/>
      <c r="AS26" s="360"/>
      <c r="AT26" s="360"/>
      <c r="AU26" s="360"/>
      <c r="AV26" s="360"/>
      <c r="AW26" s="359">
        <f t="shared" si="23"/>
        <v>5.0000000000000001E-4</v>
      </c>
      <c r="AX26" s="360">
        <f t="shared" si="24"/>
        <v>12.0001</v>
      </c>
      <c r="AY26" s="360">
        <f t="shared" si="25"/>
        <v>12.0002</v>
      </c>
      <c r="AZ26" s="360">
        <f t="shared" si="26"/>
        <v>14.000299999999999</v>
      </c>
      <c r="BA26" s="360">
        <f t="shared" si="27"/>
        <v>14.000400000000001</v>
      </c>
      <c r="BB26" s="360">
        <f t="shared" si="28"/>
        <v>5.0000000000000001E-4</v>
      </c>
      <c r="BC26" s="360">
        <f t="shared" si="29"/>
        <v>12.0006</v>
      </c>
      <c r="BD26" s="360">
        <f t="shared" si="30"/>
        <v>6.9999999999999999E-4</v>
      </c>
      <c r="BE26" s="360">
        <f t="shared" si="31"/>
        <v>8.0000000000000004E-4</v>
      </c>
      <c r="BF26" s="360">
        <f t="shared" si="32"/>
        <v>8.9999999999999998E-4</v>
      </c>
      <c r="BG26" s="360">
        <f t="shared" si="33"/>
        <v>11.000999999999999</v>
      </c>
    </row>
    <row r="27" spans="1:59" x14ac:dyDescent="0.2">
      <c r="A27" s="337">
        <f t="shared" si="0"/>
        <v>16</v>
      </c>
      <c r="B27" s="338">
        <f t="shared" si="1"/>
        <v>22</v>
      </c>
      <c r="C27" s="339" t="str">
        <f t="shared" si="2"/>
        <v/>
      </c>
      <c r="D27" s="338">
        <f t="shared" si="3"/>
        <v>-978</v>
      </c>
      <c r="E27" s="340" t="str">
        <f t="shared" si="4"/>
        <v/>
      </c>
      <c r="F27" s="338">
        <f t="shared" si="5"/>
        <v>-978</v>
      </c>
      <c r="G27" s="341">
        <f t="shared" si="6"/>
        <v>2</v>
      </c>
      <c r="H27" s="338">
        <f t="shared" si="7"/>
        <v>22</v>
      </c>
      <c r="I27" s="342" t="str">
        <f t="shared" si="8"/>
        <v/>
      </c>
      <c r="J27" s="343">
        <f t="shared" si="9"/>
        <v>-978</v>
      </c>
      <c r="K27" s="302">
        <f t="shared" si="10"/>
        <v>21</v>
      </c>
      <c r="L27" s="361" t="s">
        <v>137</v>
      </c>
      <c r="M27" s="345" t="s">
        <v>119</v>
      </c>
      <c r="N27" s="346" t="str">
        <f t="shared" si="34"/>
        <v/>
      </c>
      <c r="O27" s="347"/>
      <c r="P27" s="348"/>
      <c r="Q27" s="349" t="s">
        <v>190</v>
      </c>
      <c r="R27" s="350">
        <f>(IF(COUNT(Z27,AA27,AB27,AC27,AD27,AE27,AF27,AG27,AH27,AI27)&lt;9,SUM(Z27,AA27,AB27,AC27,AD27,AE27,AF27,AG27,AH27,AI27),SUM(LARGE((Z27,AA27,AB27,AC27,AD27,AE27,AF27,AG27,AH27,AI27),{1;2;3;4;5;6;7;8;9}))))</f>
        <v>73</v>
      </c>
      <c r="S27" s="351" t="str">
        <f>INDEX(ETAPP!B$1:B$32,MATCH(COUNTIF(Z27:AI27,PVO!A$1),ETAPP!A$1:A$32,0))&amp;INDEX(ETAPP!B$1:B$32,MATCH(COUNTIF(Z27:AI27,PVO!A$2),ETAPP!A$1:A$32,0))&amp;INDEX(ETAPP!B$1:B$32,MATCH(COUNTIF(Z27:AI27,PVO!A$3),ETAPP!A$1:A$32,0))&amp;INDEX(ETAPP!B$1:B$32,MATCH(COUNTIF(Z27:AI27,PVO!A$4),ETAPP!A$1:A$32,0))&amp;INDEX(ETAPP!B$1:B$32,MATCH(COUNTIF(Z27:AI27,PVO!A$5),ETAPP!A$1:A$32,0))&amp;INDEX(ETAPP!B$1:B$32,MATCH(COUNTIF(Z27:AI27,PVO!A$6),ETAPP!A$1:A$32,0))&amp;INDEX(ETAPP!B$1:B$32,MATCH(COUNTIF(Z27:AI27,PVO!A$7),ETAPP!A$1:A$32,0))&amp;INDEX(ETAPP!B$1:B$32,MATCH(COUNTIF(Z27:AI27,PVO!A$8),ETAPP!A$1:A$32,0))&amp;INDEX(ETAPP!B$1:B$32,MATCH(COUNTIF(Z27:AI27,PVO!A$9),ETAPP!A$1:A$32,0))&amp;INDEX(ETAPP!B$1:B$32,MATCH(COUNTIF(Z27:AI27,PVO!A$10),ETAPP!A$1:A$32,0))&amp;INDEX(ETAPP!B$1:B$32,MATCH(COUNTIF(Z27:AI27,PVO!A$11),ETAPP!A$1:A$32,0))&amp;INDEX(ETAPP!B$1:B$32,MATCH(COUNTIF(Z27:AI27,PVO!A$12),ETAPP!A$1:A$32,0))&amp;INDEX(ETAPP!B$1:B$32,MATCH(COUNTIF(Z27:AI27,PVO!A$13),ETAPP!A$1:A$32,0))&amp;INDEX(ETAPP!B$1:B$32,MATCH(COUNTIF(Z27:AI27,PVO!A$14),ETAPP!A$1:A$32,0))&amp;INDEX(ETAPP!B$1:B$32,MATCH(COUNTIF(Z27:AI27,PVO!A$15),ETAPP!A$1:A$32,0))&amp;INDEX(ETAPP!B$1:B$32,MATCH(COUNTIF(Z27:AI27,PVO!A$16),ETAPP!A$1:A$32,0))&amp;INDEX(ETAPP!B$1:B$32,MATCH(COUNTIF(Z27:AI27,PVO!A$17),ETAPP!A$1:A$32,0))&amp;INDEX(ETAPP!B$1:B$32,MATCH(COUNTIF(Z27:AI27,PVO!A$18),ETAPP!A$1:A$32,0))&amp;INDEX(ETAPP!B$1:B$32,MATCH(COUNTIF(Z27:AI27,PVO!A$19),ETAPP!A$1:A$32,0))</f>
        <v>0000A0A0B0AA0000000</v>
      </c>
      <c r="T27" s="351" t="str">
        <f t="shared" si="11"/>
        <v>073,0-0000A0A0B0AA0000000</v>
      </c>
      <c r="U27" s="351">
        <f t="shared" si="12"/>
        <v>22</v>
      </c>
      <c r="V27" s="351">
        <f t="shared" si="13"/>
        <v>27</v>
      </c>
      <c r="W27" s="351" t="str">
        <f t="shared" si="14"/>
        <v>073,0-0000A0A0B0AA0000000-027</v>
      </c>
      <c r="X27" s="351">
        <f t="shared" si="15"/>
        <v>21</v>
      </c>
      <c r="Y27" s="352">
        <f t="shared" si="16"/>
        <v>32</v>
      </c>
      <c r="Z27" s="353" t="str">
        <f>IFERROR(INDEX('V1'!C$300:C$400,MATCH("*"&amp;L27&amp;"*",'V1'!B$300:B$400,0)),"  ")</f>
        <v xml:space="preserve">  </v>
      </c>
      <c r="AA27" s="353">
        <f>IFERROR(INDEX('V2'!C$300:C$395,MATCH("*"&amp;L27&amp;"*",'V2'!B$300:B$395,0)),"  ")</f>
        <v>16</v>
      </c>
      <c r="AB27" s="353" t="str">
        <f>IFERROR(INDEX('V3'!C$300:C$400,MATCH("*"&amp;L27&amp;"*",'V3'!B$300:B$400,0)),"  ")</f>
        <v xml:space="preserve">  </v>
      </c>
      <c r="AC27" s="353" t="str">
        <f>IFERROR(INDEX('V4'!C$300:C$400,MATCH("*"&amp;L27&amp;"*",'V4'!B$300:B$400,0)),"  ")</f>
        <v xml:space="preserve">  </v>
      </c>
      <c r="AD27" s="353">
        <f>IFERROR(INDEX('V5'!C$300:C$400,MATCH("*"&amp;L27&amp;"*",'V5'!B$300:B$400,0)),"  ")</f>
        <v>12</v>
      </c>
      <c r="AE27" s="353">
        <f>IFERROR(INDEX('V6'!C$300:C$400,MATCH("*"&amp;L27&amp;"*",'V6'!B$300:B$400,0)),"  ")</f>
        <v>10</v>
      </c>
      <c r="AF27" s="353">
        <f>IFERROR(INDEX('V7'!C$300:C$400,MATCH("*"&amp;L27&amp;"*",'V7'!B$300:B$400,0)),"  ")</f>
        <v>9</v>
      </c>
      <c r="AG27" s="353">
        <f>IFERROR(INDEX('V8'!C$300:C$400,MATCH("*"&amp;L27&amp;"*",'V8'!B$300:B$400,0)),"  ")</f>
        <v>12</v>
      </c>
      <c r="AH27" s="353">
        <f>IFERROR(INDEX('V9'!C$300:C$400,MATCH("*"&amp;L27&amp;"*",'V9'!B$300:B$400,0)),"  ")</f>
        <v>14</v>
      </c>
      <c r="AI27" s="353" t="str">
        <f>IFERROR(INDEX('V10'!C$300:C$400,MATCH("*"&amp;L27&amp;"*",'V10'!B$300:B$400,0)),"  ")</f>
        <v xml:space="preserve">  </v>
      </c>
      <c r="AJ27" s="354">
        <f t="shared" si="17"/>
        <v>1</v>
      </c>
      <c r="AK27" s="354">
        <f t="shared" si="18"/>
        <v>32</v>
      </c>
      <c r="AL27" s="355" t="str">
        <f t="shared" si="19"/>
        <v>edasi 21</v>
      </c>
      <c r="AM27" s="356" t="str">
        <f>IFERROR(INDEX(#REF!,MATCH("*"&amp;L27&amp;"*",#REF!,0)),"  ")</f>
        <v xml:space="preserve">  </v>
      </c>
      <c r="AN27" s="357">
        <f t="shared" si="20"/>
        <v>6</v>
      </c>
      <c r="AO27" s="358">
        <f t="shared" si="21"/>
        <v>0</v>
      </c>
      <c r="AP27" s="358">
        <f t="shared" si="22"/>
        <v>0</v>
      </c>
      <c r="AQ27" s="373"/>
      <c r="AR27" s="359"/>
      <c r="AS27" s="360"/>
      <c r="AT27" s="360"/>
      <c r="AU27" s="360"/>
      <c r="AV27" s="360"/>
      <c r="AW27" s="359">
        <f t="shared" si="23"/>
        <v>1E-4</v>
      </c>
      <c r="AX27" s="360">
        <f t="shared" si="24"/>
        <v>1E-4</v>
      </c>
      <c r="AY27" s="360">
        <f t="shared" si="25"/>
        <v>16.0002</v>
      </c>
      <c r="AZ27" s="360">
        <f t="shared" si="26"/>
        <v>2.9999999999999997E-4</v>
      </c>
      <c r="BA27" s="360">
        <f t="shared" si="27"/>
        <v>4.0000000000000002E-4</v>
      </c>
      <c r="BB27" s="360">
        <f t="shared" si="28"/>
        <v>12.000500000000001</v>
      </c>
      <c r="BC27" s="360">
        <f t="shared" si="29"/>
        <v>10.0006</v>
      </c>
      <c r="BD27" s="360">
        <f t="shared" si="30"/>
        <v>9.0007000000000001</v>
      </c>
      <c r="BE27" s="360">
        <f t="shared" si="31"/>
        <v>12.0008</v>
      </c>
      <c r="BF27" s="360">
        <f t="shared" si="32"/>
        <v>14.0009</v>
      </c>
      <c r="BG27" s="360">
        <f t="shared" si="33"/>
        <v>1E-3</v>
      </c>
    </row>
    <row r="28" spans="1:59" x14ac:dyDescent="0.2">
      <c r="A28" s="337">
        <f t="shared" si="0"/>
        <v>16</v>
      </c>
      <c r="B28" s="338">
        <f t="shared" si="1"/>
        <v>22</v>
      </c>
      <c r="C28" s="339" t="str">
        <f t="shared" si="2"/>
        <v/>
      </c>
      <c r="D28" s="338">
        <f t="shared" si="3"/>
        <v>-978</v>
      </c>
      <c r="E28" s="340">
        <f t="shared" si="4"/>
        <v>20</v>
      </c>
      <c r="F28" s="338">
        <f t="shared" si="5"/>
        <v>22</v>
      </c>
      <c r="G28" s="341" t="str">
        <f t="shared" si="6"/>
        <v/>
      </c>
      <c r="H28" s="338">
        <f t="shared" si="7"/>
        <v>-978</v>
      </c>
      <c r="I28" s="342" t="str">
        <f t="shared" si="8"/>
        <v/>
      </c>
      <c r="J28" s="343">
        <f t="shared" si="9"/>
        <v>-978</v>
      </c>
      <c r="K28" s="302">
        <f t="shared" si="10"/>
        <v>21</v>
      </c>
      <c r="L28" s="344" t="s">
        <v>138</v>
      </c>
      <c r="M28" s="345"/>
      <c r="N28" s="346" t="str">
        <f t="shared" si="34"/>
        <v>m</v>
      </c>
      <c r="O28" s="347"/>
      <c r="P28" s="348"/>
      <c r="Q28" s="349" t="s">
        <v>190</v>
      </c>
      <c r="R28" s="350">
        <f>(IF(COUNT(Z28,AA28,AB28,AC28,AD28,AE28,AF28,AG28,AH28,AI28)&lt;9,SUM(Z28,AA28,AB28,AC28,AD28,AE28,AF28,AG28,AH28,AI28),SUM(LARGE((Z28,AA28,AB28,AC28,AD28,AE28,AF28,AG28,AH28,AI28),{1;2;3;4;5;6;7;8;9}))))</f>
        <v>73</v>
      </c>
      <c r="S28" s="351" t="str">
        <f>INDEX(ETAPP!B$1:B$32,MATCH(COUNTIF(Z28:AI28,PVO!A$1),ETAPP!A$1:A$32,0))&amp;INDEX(ETAPP!B$1:B$32,MATCH(COUNTIF(Z28:AI28,PVO!A$2),ETAPP!A$1:A$32,0))&amp;INDEX(ETAPP!B$1:B$32,MATCH(COUNTIF(Z28:AI28,PVO!A$3),ETAPP!A$1:A$32,0))&amp;INDEX(ETAPP!B$1:B$32,MATCH(COUNTIF(Z28:AI28,PVO!A$4),ETAPP!A$1:A$32,0))&amp;INDEX(ETAPP!B$1:B$32,MATCH(COUNTIF(Z28:AI28,PVO!A$5),ETAPP!A$1:A$32,0))&amp;INDEX(ETAPP!B$1:B$32,MATCH(COUNTIF(Z28:AI28,PVO!A$6),ETAPP!A$1:A$32,0))&amp;INDEX(ETAPP!B$1:B$32,MATCH(COUNTIF(Z28:AI28,PVO!A$7),ETAPP!A$1:A$32,0))&amp;INDEX(ETAPP!B$1:B$32,MATCH(COUNTIF(Z28:AI28,PVO!A$8),ETAPP!A$1:A$32,0))&amp;INDEX(ETAPP!B$1:B$32,MATCH(COUNTIF(Z28:AI28,PVO!A$9),ETAPP!A$1:A$32,0))&amp;INDEX(ETAPP!B$1:B$32,MATCH(COUNTIF(Z28:AI28,PVO!A$10),ETAPP!A$1:A$32,0))&amp;INDEX(ETAPP!B$1:B$32,MATCH(COUNTIF(Z28:AI28,PVO!A$11),ETAPP!A$1:A$32,0))&amp;INDEX(ETAPP!B$1:B$32,MATCH(COUNTIF(Z28:AI28,PVO!A$12),ETAPP!A$1:A$32,0))&amp;INDEX(ETAPP!B$1:B$32,MATCH(COUNTIF(Z28:AI28,PVO!A$13),ETAPP!A$1:A$32,0))&amp;INDEX(ETAPP!B$1:B$32,MATCH(COUNTIF(Z28:AI28,PVO!A$14),ETAPP!A$1:A$32,0))&amp;INDEX(ETAPP!B$1:B$32,MATCH(COUNTIF(Z28:AI28,PVO!A$15),ETAPP!A$1:A$32,0))&amp;INDEX(ETAPP!B$1:B$32,MATCH(COUNTIF(Z28:AI28,PVO!A$16),ETAPP!A$1:A$32,0))&amp;INDEX(ETAPP!B$1:B$32,MATCH(COUNTIF(Z28:AI28,PVO!A$17),ETAPP!A$1:A$32,0))&amp;INDEX(ETAPP!B$1:B$32,MATCH(COUNTIF(Z28:AI28,PVO!A$18),ETAPP!A$1:A$32,0))&amp;INDEX(ETAPP!B$1:B$32,MATCH(COUNTIF(Z28:AI28,PVO!A$19),ETAPP!A$1:A$32,0))</f>
        <v>0000A0A0B0AA0000000</v>
      </c>
      <c r="T28" s="351" t="str">
        <f t="shared" si="11"/>
        <v>073,0-0000A0A0B0AA0000000</v>
      </c>
      <c r="U28" s="351">
        <f t="shared" si="12"/>
        <v>22</v>
      </c>
      <c r="V28" s="351">
        <f t="shared" si="13"/>
        <v>2</v>
      </c>
      <c r="W28" s="351" t="str">
        <f t="shared" si="14"/>
        <v>073,0-0000A0A0B0AA0000000-002</v>
      </c>
      <c r="X28" s="351">
        <f t="shared" si="15"/>
        <v>22</v>
      </c>
      <c r="Y28" s="352">
        <f t="shared" si="16"/>
        <v>31</v>
      </c>
      <c r="Z28" s="353" t="str">
        <f>IFERROR(INDEX('V1'!C$300:C$400,MATCH("*"&amp;L28&amp;"*",'V1'!B$300:B$400,0)),"  ")</f>
        <v xml:space="preserve">  </v>
      </c>
      <c r="AA28" s="353">
        <f>IFERROR(INDEX('V2'!C$300:C$395,MATCH("*"&amp;L28&amp;"*",'V2'!B$300:B$395,0)),"  ")</f>
        <v>16</v>
      </c>
      <c r="AB28" s="353" t="str">
        <f>IFERROR(INDEX('V3'!C$300:C$400,MATCH("*"&amp;L28&amp;"*",'V3'!B$300:B$400,0)),"  ")</f>
        <v xml:space="preserve">  </v>
      </c>
      <c r="AC28" s="353" t="str">
        <f>IFERROR(INDEX('V4'!C$300:C$400,MATCH("*"&amp;L28&amp;"*",'V4'!B$300:B$400,0)),"  ")</f>
        <v xml:space="preserve">  </v>
      </c>
      <c r="AD28" s="353">
        <f>IFERROR(INDEX('V5'!C$300:C$400,MATCH("*"&amp;L28&amp;"*",'V5'!B$300:B$400,0)),"  ")</f>
        <v>12</v>
      </c>
      <c r="AE28" s="353">
        <f>IFERROR(INDEX('V6'!C$300:C$400,MATCH("*"&amp;L28&amp;"*",'V6'!B$300:B$400,0)),"  ")</f>
        <v>10</v>
      </c>
      <c r="AF28" s="353">
        <f>IFERROR(INDEX('V7'!C$300:C$400,MATCH("*"&amp;L28&amp;"*",'V7'!B$300:B$400,0)),"  ")</f>
        <v>9</v>
      </c>
      <c r="AG28" s="353">
        <f>IFERROR(INDEX('V8'!C$300:C$400,MATCH("*"&amp;L28&amp;"*",'V8'!B$300:B$400,0)),"  ")</f>
        <v>12</v>
      </c>
      <c r="AH28" s="353">
        <f>IFERROR(INDEX('V9'!C$300:C$400,MATCH("*"&amp;L28&amp;"*",'V9'!B$300:B$400,0)),"  ")</f>
        <v>14</v>
      </c>
      <c r="AI28" s="353" t="str">
        <f>IFERROR(INDEX('V10'!C$300:C$400,MATCH("*"&amp;L28&amp;"*",'V10'!B$300:B$400,0)),"  ")</f>
        <v xml:space="preserve">  </v>
      </c>
      <c r="AJ28" s="354">
        <f t="shared" si="17"/>
        <v>1</v>
      </c>
      <c r="AK28" s="354">
        <f t="shared" si="18"/>
        <v>31</v>
      </c>
      <c r="AL28" s="355" t="str">
        <f t="shared" si="19"/>
        <v>edasi 22</v>
      </c>
      <c r="AM28" s="356" t="str">
        <f>IFERROR(INDEX(#REF!,MATCH("*"&amp;L28&amp;"*",#REF!,0)),"  ")</f>
        <v xml:space="preserve">  </v>
      </c>
      <c r="AN28" s="357">
        <f t="shared" si="20"/>
        <v>6</v>
      </c>
      <c r="AO28" s="358">
        <f t="shared" si="21"/>
        <v>0</v>
      </c>
      <c r="AP28" s="358">
        <f t="shared" si="22"/>
        <v>0</v>
      </c>
      <c r="AQ28" s="373"/>
      <c r="AR28" s="359"/>
      <c r="AS28" s="360"/>
      <c r="AT28" s="360"/>
      <c r="AU28" s="360"/>
      <c r="AV28" s="360"/>
      <c r="AW28" s="359">
        <f t="shared" si="23"/>
        <v>1E-4</v>
      </c>
      <c r="AX28" s="360">
        <f t="shared" si="24"/>
        <v>1E-4</v>
      </c>
      <c r="AY28" s="360">
        <f t="shared" si="25"/>
        <v>16.0002</v>
      </c>
      <c r="AZ28" s="360">
        <f t="shared" si="26"/>
        <v>2.9999999999999997E-4</v>
      </c>
      <c r="BA28" s="360">
        <f t="shared" si="27"/>
        <v>4.0000000000000002E-4</v>
      </c>
      <c r="BB28" s="360">
        <f t="shared" si="28"/>
        <v>12.000500000000001</v>
      </c>
      <c r="BC28" s="360">
        <f t="shared" si="29"/>
        <v>10.0006</v>
      </c>
      <c r="BD28" s="360">
        <f t="shared" si="30"/>
        <v>9.0007000000000001</v>
      </c>
      <c r="BE28" s="360">
        <f t="shared" si="31"/>
        <v>12.0008</v>
      </c>
      <c r="BF28" s="360">
        <f t="shared" si="32"/>
        <v>14.0009</v>
      </c>
      <c r="BG28" s="360">
        <f t="shared" si="33"/>
        <v>1E-3</v>
      </c>
    </row>
    <row r="29" spans="1:59" x14ac:dyDescent="0.2">
      <c r="A29" s="337">
        <f t="shared" si="0"/>
        <v>18</v>
      </c>
      <c r="B29" s="338">
        <f t="shared" si="1"/>
        <v>23</v>
      </c>
      <c r="C29" s="339" t="str">
        <f t="shared" si="2"/>
        <v/>
      </c>
      <c r="D29" s="338">
        <f t="shared" si="3"/>
        <v>-977</v>
      </c>
      <c r="E29" s="340" t="str">
        <f t="shared" si="4"/>
        <v/>
      </c>
      <c r="F29" s="338">
        <f t="shared" si="5"/>
        <v>-977</v>
      </c>
      <c r="G29" s="341">
        <f t="shared" si="6"/>
        <v>3</v>
      </c>
      <c r="H29" s="338">
        <f t="shared" si="7"/>
        <v>23</v>
      </c>
      <c r="I29" s="342" t="str">
        <f t="shared" si="8"/>
        <v/>
      </c>
      <c r="J29" s="343">
        <f t="shared" si="9"/>
        <v>-977</v>
      </c>
      <c r="K29" s="302">
        <f t="shared" si="10"/>
        <v>23</v>
      </c>
      <c r="L29" s="363" t="s">
        <v>156</v>
      </c>
      <c r="M29" s="345" t="s">
        <v>119</v>
      </c>
      <c r="N29" s="346" t="str">
        <f t="shared" si="34"/>
        <v/>
      </c>
      <c r="O29" s="347"/>
      <c r="P29" s="348"/>
      <c r="Q29" s="349" t="s">
        <v>190</v>
      </c>
      <c r="R29" s="350">
        <f>(IF(COUNT(Z29,AA29,AB29,AC29,AD29,AE29,AF29,AG29,AH29,AI29)&lt;9,SUM(Z29,AA29,AB29,AC29,AD29,AE29,AF29,AG29,AH29,AI29),SUM(LARGE((Z29,AA29,AB29,AC29,AD29,AE29,AF29,AG29,AH29,AI29),{1;2;3;4;5;6;7;8;9}))))</f>
        <v>71</v>
      </c>
      <c r="S29" s="351" t="str">
        <f>INDEX(ETAPP!B$1:B$32,MATCH(COUNTIF(Z29:AI29,PVO!A$1),ETAPP!A$1:A$32,0))&amp;INDEX(ETAPP!B$1:B$32,MATCH(COUNTIF(Z29:AI29,PVO!A$2),ETAPP!A$1:A$32,0))&amp;INDEX(ETAPP!B$1:B$32,MATCH(COUNTIF(Z29:AI29,PVO!A$3),ETAPP!A$1:A$32,0))&amp;INDEX(ETAPP!B$1:B$32,MATCH(COUNTIF(Z29:AI29,PVO!A$4),ETAPP!A$1:A$32,0))&amp;INDEX(ETAPP!B$1:B$32,MATCH(COUNTIF(Z29:AI29,PVO!A$5),ETAPP!A$1:A$32,0))&amp;INDEX(ETAPP!B$1:B$32,MATCH(COUNTIF(Z29:AI29,PVO!A$6),ETAPP!A$1:A$32,0))&amp;INDEX(ETAPP!B$1:B$32,MATCH(COUNTIF(Z29:AI29,PVO!A$7),ETAPP!A$1:A$32,0))&amp;INDEX(ETAPP!B$1:B$32,MATCH(COUNTIF(Z29:AI29,PVO!A$8),ETAPP!A$1:A$32,0))&amp;INDEX(ETAPP!B$1:B$32,MATCH(COUNTIF(Z29:AI29,PVO!A$9),ETAPP!A$1:A$32,0))&amp;INDEX(ETAPP!B$1:B$32,MATCH(COUNTIF(Z29:AI29,PVO!A$10),ETAPP!A$1:A$32,0))&amp;INDEX(ETAPP!B$1:B$32,MATCH(COUNTIF(Z29:AI29,PVO!A$11),ETAPP!A$1:A$32,0))&amp;INDEX(ETAPP!B$1:B$32,MATCH(COUNTIF(Z29:AI29,PVO!A$12),ETAPP!A$1:A$32,0))&amp;INDEX(ETAPP!B$1:B$32,MATCH(COUNTIF(Z29:AI29,PVO!A$13),ETAPP!A$1:A$32,0))&amp;INDEX(ETAPP!B$1:B$32,MATCH(COUNTIF(Z29:AI29,PVO!A$14),ETAPP!A$1:A$32,0))&amp;INDEX(ETAPP!B$1:B$32,MATCH(COUNTIF(Z29:AI29,PVO!A$15),ETAPP!A$1:A$32,0))&amp;INDEX(ETAPP!B$1:B$32,MATCH(COUNTIF(Z29:AI29,PVO!A$16),ETAPP!A$1:A$32,0))&amp;INDEX(ETAPP!B$1:B$32,MATCH(COUNTIF(Z29:AI29,PVO!A$17),ETAPP!A$1:A$32,0))&amp;INDEX(ETAPP!B$1:B$32,MATCH(COUNTIF(Z29:AI29,PVO!A$18),ETAPP!A$1:A$32,0))&amp;INDEX(ETAPP!B$1:B$32,MATCH(COUNTIF(Z29:AI29,PVO!A$19),ETAPP!A$1:A$32,0))</f>
        <v>AAA000A000000000000</v>
      </c>
      <c r="T29" s="351" t="str">
        <f t="shared" si="11"/>
        <v>071,0-AAA000A000000000000</v>
      </c>
      <c r="U29" s="351">
        <f t="shared" si="12"/>
        <v>23</v>
      </c>
      <c r="V29" s="351">
        <f t="shared" si="13"/>
        <v>25</v>
      </c>
      <c r="W29" s="351" t="str">
        <f t="shared" si="14"/>
        <v>071,0-AAA000A000000000000-025</v>
      </c>
      <c r="X29" s="351">
        <f t="shared" si="15"/>
        <v>23</v>
      </c>
      <c r="Y29" s="352">
        <f t="shared" si="16"/>
        <v>30</v>
      </c>
      <c r="Z29" s="353" t="str">
        <f>IFERROR(INDEX('V1'!C$300:C$400,MATCH("*"&amp;L29&amp;"*",'V1'!B$300:B$400,0)),"  ")</f>
        <v xml:space="preserve">  </v>
      </c>
      <c r="AA29" s="353" t="str">
        <f>IFERROR(INDEX('V2'!C$300:C$395,MATCH("*"&amp;L29&amp;"*",'V2'!B$300:B$395,0)),"  ")</f>
        <v xml:space="preserve">  </v>
      </c>
      <c r="AB29" s="353" t="str">
        <f>IFERROR(INDEX('V3'!C$300:C$400,MATCH("*"&amp;L29&amp;"*",'V3'!B$300:B$400,0)),"  ")</f>
        <v xml:space="preserve">  </v>
      </c>
      <c r="AC29" s="353" t="str">
        <f>IFERROR(INDEX('V4'!C$300:C$400,MATCH("*"&amp;L29&amp;"*",'V4'!B$300:B$400,0)),"  ")</f>
        <v xml:space="preserve">  </v>
      </c>
      <c r="AD29" s="353">
        <f>IFERROR(INDEX('V5'!C$300:C$400,MATCH("*"&amp;L29&amp;"*",'V5'!B$300:B$400,0)),"  ")</f>
        <v>14</v>
      </c>
      <c r="AE29" s="353">
        <f>IFERROR(INDEX('V6'!C$300:C$400,MATCH("*"&amp;L29&amp;"*",'V6'!B$300:B$400,0)),"  ")</f>
        <v>19</v>
      </c>
      <c r="AF29" s="353">
        <f>IFERROR(INDEX('V7'!C$300:C$400,MATCH("*"&amp;L29&amp;"*",'V7'!B$300:B$400,0)),"  ")</f>
        <v>18</v>
      </c>
      <c r="AG29" s="353" t="str">
        <f>IFERROR(INDEX('V8'!C$300:C$400,MATCH("*"&amp;L29&amp;"*",'V8'!B$300:B$400,0)),"  ")</f>
        <v xml:space="preserve">  </v>
      </c>
      <c r="AH29" s="353">
        <f>IFERROR(INDEX('V9'!C$300:C$400,MATCH("*"&amp;L29&amp;"*",'V9'!B$300:B$400,0)),"  ")</f>
        <v>20</v>
      </c>
      <c r="AI29" s="353" t="str">
        <f>IFERROR(INDEX('V10'!C$300:C$400,MATCH("*"&amp;L29&amp;"*",'V10'!B$300:B$400,0)),"  ")</f>
        <v xml:space="preserve">  </v>
      </c>
      <c r="AJ29" s="354">
        <f t="shared" si="17"/>
        <v>1</v>
      </c>
      <c r="AK29" s="354">
        <f t="shared" si="18"/>
        <v>30</v>
      </c>
      <c r="AL29" s="355" t="str">
        <f t="shared" si="19"/>
        <v>edasi 23</v>
      </c>
      <c r="AM29" s="356" t="str">
        <f>IFERROR(INDEX(#REF!,MATCH("*"&amp;L29&amp;"*",#REF!,0)),"  ")</f>
        <v xml:space="preserve">  </v>
      </c>
      <c r="AN29" s="357">
        <f t="shared" si="20"/>
        <v>4</v>
      </c>
      <c r="AO29" s="358">
        <f t="shared" si="21"/>
        <v>3</v>
      </c>
      <c r="AP29" s="358">
        <f t="shared" si="22"/>
        <v>1</v>
      </c>
      <c r="AQ29" s="267"/>
      <c r="AR29" s="359"/>
      <c r="AS29" s="360"/>
      <c r="AT29" s="360"/>
      <c r="AU29" s="360"/>
      <c r="AV29" s="360"/>
      <c r="AW29" s="359">
        <f t="shared" si="23"/>
        <v>1E-4</v>
      </c>
      <c r="AX29" s="360">
        <f t="shared" si="24"/>
        <v>1E-4</v>
      </c>
      <c r="AY29" s="360">
        <f t="shared" si="25"/>
        <v>2.0000000000000001E-4</v>
      </c>
      <c r="AZ29" s="360">
        <f t="shared" si="26"/>
        <v>2.9999999999999997E-4</v>
      </c>
      <c r="BA29" s="360">
        <f t="shared" si="27"/>
        <v>4.0000000000000002E-4</v>
      </c>
      <c r="BB29" s="360">
        <f t="shared" si="28"/>
        <v>14.000500000000001</v>
      </c>
      <c r="BC29" s="360">
        <f t="shared" si="29"/>
        <v>19.000599999999999</v>
      </c>
      <c r="BD29" s="360">
        <f t="shared" si="30"/>
        <v>18.000699999999998</v>
      </c>
      <c r="BE29" s="360">
        <f t="shared" si="31"/>
        <v>8.0000000000000004E-4</v>
      </c>
      <c r="BF29" s="360">
        <f t="shared" si="32"/>
        <v>20.000900000000001</v>
      </c>
      <c r="BG29" s="360">
        <f t="shared" si="33"/>
        <v>1E-3</v>
      </c>
    </row>
    <row r="30" spans="1:59" x14ac:dyDescent="0.2">
      <c r="A30" s="337">
        <f t="shared" si="0"/>
        <v>19</v>
      </c>
      <c r="B30" s="338">
        <f t="shared" si="1"/>
        <v>24</v>
      </c>
      <c r="C30" s="339">
        <f t="shared" si="2"/>
        <v>8</v>
      </c>
      <c r="D30" s="338">
        <f t="shared" si="3"/>
        <v>24</v>
      </c>
      <c r="E30" s="340">
        <f t="shared" si="4"/>
        <v>21</v>
      </c>
      <c r="F30" s="338">
        <f t="shared" si="5"/>
        <v>24</v>
      </c>
      <c r="G30" s="341" t="str">
        <f t="shared" si="6"/>
        <v/>
      </c>
      <c r="H30" s="338">
        <f t="shared" si="7"/>
        <v>-976</v>
      </c>
      <c r="I30" s="342" t="str">
        <f t="shared" si="8"/>
        <v/>
      </c>
      <c r="J30" s="343">
        <f t="shared" si="9"/>
        <v>-976</v>
      </c>
      <c r="K30" s="374">
        <f t="shared" si="10"/>
        <v>24</v>
      </c>
      <c r="L30" s="991" t="s">
        <v>144</v>
      </c>
      <c r="M30" s="375"/>
      <c r="N30" s="376" t="str">
        <f t="shared" si="34"/>
        <v>m</v>
      </c>
      <c r="O30" s="377"/>
      <c r="P30" s="378" t="s">
        <v>191</v>
      </c>
      <c r="Q30" s="349" t="s">
        <v>190</v>
      </c>
      <c r="R30" s="350">
        <f>(IF(COUNT(Z30,AA30,AB30,AC30,AD30,AE30,AF30,AG30,AH30,AI30)&lt;9,SUM(Z30,AA30,AB30,AC30,AD30,AE30,AF30,AG30,AH30,AI30),SUM(LARGE((Z30,AA30,AB30,AC30,AD30,AE30,AF30,AG30,AH30,AI30),{1;2;3;4;5;6;7;8;9}))))</f>
        <v>68</v>
      </c>
      <c r="S30" s="379" t="str">
        <f>INDEX(ETAPP!B$1:B$32,MATCH(COUNTIF(Z30:AI30,PVO!A$1),ETAPP!A$1:A$32,0))&amp;INDEX(ETAPP!B$1:B$32,MATCH(COUNTIF(Z30:AI30,PVO!A$2),ETAPP!A$1:A$32,0))&amp;INDEX(ETAPP!B$1:B$32,MATCH(COUNTIF(Z30:AI30,PVO!A$3),ETAPP!A$1:A$32,0))&amp;INDEX(ETAPP!B$1:B$32,MATCH(COUNTIF(Z30:AI30,PVO!A$4),ETAPP!A$1:A$32,0))&amp;INDEX(ETAPP!B$1:B$32,MATCH(COUNTIF(Z30:AI30,PVO!A$5),ETAPP!A$1:A$32,0))&amp;INDEX(ETAPP!B$1:B$32,MATCH(COUNTIF(Z30:AI30,PVO!A$6),ETAPP!A$1:A$32,0))&amp;INDEX(ETAPP!B$1:B$32,MATCH(COUNTIF(Z30:AI30,PVO!A$7),ETAPP!A$1:A$32,0))&amp;INDEX(ETAPP!B$1:B$32,MATCH(COUNTIF(Z30:AI30,PVO!A$8),ETAPP!A$1:A$32,0))&amp;INDEX(ETAPP!B$1:B$32,MATCH(COUNTIF(Z30:AI30,PVO!A$9),ETAPP!A$1:A$32,0))&amp;INDEX(ETAPP!B$1:B$32,MATCH(COUNTIF(Z30:AI30,PVO!A$10),ETAPP!A$1:A$32,0))&amp;INDEX(ETAPP!B$1:B$32,MATCH(COUNTIF(Z30:AI30,PVO!A$11),ETAPP!A$1:A$32,0))&amp;INDEX(ETAPP!B$1:B$32,MATCH(COUNTIF(Z30:AI30,PVO!A$12),ETAPP!A$1:A$32,0))&amp;INDEX(ETAPP!B$1:B$32,MATCH(COUNTIF(Z30:AI30,PVO!A$13),ETAPP!A$1:A$32,0))&amp;INDEX(ETAPP!B$1:B$32,MATCH(COUNTIF(Z30:AI30,PVO!A$14),ETAPP!A$1:A$32,0))&amp;INDEX(ETAPP!B$1:B$32,MATCH(COUNTIF(Z30:AI30,PVO!A$15),ETAPP!A$1:A$32,0))&amp;INDEX(ETAPP!B$1:B$32,MATCH(COUNTIF(Z30:AI30,PVO!A$16),ETAPP!A$1:A$32,0))&amp;INDEX(ETAPP!B$1:B$32,MATCH(COUNTIF(Z30:AI30,PVO!A$17),ETAPP!A$1:A$32,0))&amp;INDEX(ETAPP!B$1:B$32,MATCH(COUNTIF(Z30:AI30,PVO!A$18),ETAPP!A$1:A$32,0))&amp;INDEX(ETAPP!B$1:B$32,MATCH(COUNTIF(Z30:AI30,PVO!A$19),ETAPP!A$1:A$32,0))</f>
        <v>000000A0CA000A00000</v>
      </c>
      <c r="T30" s="379" t="str">
        <f t="shared" si="11"/>
        <v>068,0-000000A0CA000A00000</v>
      </c>
      <c r="U30" s="379">
        <f t="shared" si="12"/>
        <v>24</v>
      </c>
      <c r="V30" s="379">
        <f t="shared" si="13"/>
        <v>10</v>
      </c>
      <c r="W30" s="379" t="str">
        <f t="shared" si="14"/>
        <v>068,0-000000A0CA000A00000-010</v>
      </c>
      <c r="X30" s="379">
        <f t="shared" si="15"/>
        <v>24</v>
      </c>
      <c r="Y30" s="380">
        <f t="shared" si="16"/>
        <v>29</v>
      </c>
      <c r="Z30" s="353">
        <f>IFERROR(INDEX('V1'!C$300:C$400,MATCH("*"&amp;L30&amp;"*",'V1'!B$300:B$400,0)),"  ")</f>
        <v>12</v>
      </c>
      <c r="AA30" s="353">
        <f>IFERROR(INDEX('V2'!C$300:C$395,MATCH("*"&amp;L30&amp;"*",'V2'!B$300:B$395,0)),"  ")</f>
        <v>12</v>
      </c>
      <c r="AB30" s="353">
        <f>IFERROR(INDEX('V3'!C$300:C$400,MATCH("*"&amp;L30&amp;"*",'V3'!B$300:B$400,0)),"  ")</f>
        <v>14</v>
      </c>
      <c r="AC30" s="353" t="str">
        <f>IFERROR(INDEX('V4'!C$300:C$400,MATCH("*"&amp;L30&amp;"*",'V4'!B$300:B$400,0)),"  ")</f>
        <v xml:space="preserve">  </v>
      </c>
      <c r="AD30" s="353" t="str">
        <f>IFERROR(INDEX('V5'!C$300:C$400,MATCH("*"&amp;L30&amp;"*",'V5'!B$300:B$400,0)),"  ")</f>
        <v xml:space="preserve">  </v>
      </c>
      <c r="AE30" s="353">
        <f>IFERROR(INDEX('V6'!C$300:C$400,MATCH("*"&amp;L30&amp;"*",'V6'!B$300:B$400,0)),"  ")</f>
        <v>7</v>
      </c>
      <c r="AF30" s="353" t="str">
        <f>IFERROR(INDEX('V7'!C$300:C$400,MATCH("*"&amp;L30&amp;"*",'V7'!B$300:B$400,0)),"  ")</f>
        <v xml:space="preserve">  </v>
      </c>
      <c r="AG30" s="353" t="str">
        <f>IFERROR(INDEX('V8'!C$300:C$400,MATCH("*"&amp;L30&amp;"*",'V8'!B$300:B$400,0)),"  ")</f>
        <v xml:space="preserve">  </v>
      </c>
      <c r="AH30" s="353">
        <f>IFERROR(INDEX('V9'!C$300:C$400,MATCH("*"&amp;L30&amp;"*",'V9'!B$300:B$400,0)),"  ")</f>
        <v>12</v>
      </c>
      <c r="AI30" s="353">
        <f>IFERROR(INDEX('V10'!C$300:C$400,MATCH("*"&amp;L30&amp;"*",'V10'!B$300:B$400,0)),"  ")</f>
        <v>11</v>
      </c>
      <c r="AJ30" s="354">
        <f t="shared" si="17"/>
        <v>1</v>
      </c>
      <c r="AK30" s="354">
        <f t="shared" si="18"/>
        <v>29</v>
      </c>
      <c r="AL30" s="355" t="str">
        <f t="shared" si="19"/>
        <v>edasi 24</v>
      </c>
      <c r="AM30" s="356" t="str">
        <f>IFERROR(INDEX(#REF!,MATCH("*"&amp;L30&amp;"*",#REF!,0)),"  ")</f>
        <v xml:space="preserve">  </v>
      </c>
      <c r="AN30" s="357">
        <f t="shared" si="20"/>
        <v>6</v>
      </c>
      <c r="AO30" s="358">
        <f t="shared" si="21"/>
        <v>0</v>
      </c>
      <c r="AP30" s="358">
        <f t="shared" si="22"/>
        <v>0</v>
      </c>
      <c r="AQ30" s="267"/>
      <c r="AR30" s="359"/>
      <c r="AS30" s="360"/>
      <c r="AT30" s="360"/>
      <c r="AU30" s="360"/>
      <c r="AV30" s="360"/>
      <c r="AW30" s="359">
        <f t="shared" si="23"/>
        <v>4.0000000000000002E-4</v>
      </c>
      <c r="AX30" s="360">
        <f t="shared" si="24"/>
        <v>12.0001</v>
      </c>
      <c r="AY30" s="360">
        <f t="shared" si="25"/>
        <v>12.0002</v>
      </c>
      <c r="AZ30" s="360">
        <f t="shared" si="26"/>
        <v>14.000299999999999</v>
      </c>
      <c r="BA30" s="360">
        <f t="shared" si="27"/>
        <v>4.0000000000000002E-4</v>
      </c>
      <c r="BB30" s="360">
        <f t="shared" si="28"/>
        <v>5.0000000000000001E-4</v>
      </c>
      <c r="BC30" s="360">
        <f t="shared" si="29"/>
        <v>7.0006000000000004</v>
      </c>
      <c r="BD30" s="360">
        <f t="shared" si="30"/>
        <v>6.9999999999999999E-4</v>
      </c>
      <c r="BE30" s="360">
        <f t="shared" si="31"/>
        <v>8.0000000000000004E-4</v>
      </c>
      <c r="BF30" s="360">
        <f t="shared" si="32"/>
        <v>12.0009</v>
      </c>
      <c r="BG30" s="360">
        <f t="shared" si="33"/>
        <v>11.000999999999999</v>
      </c>
    </row>
    <row r="31" spans="1:59" x14ac:dyDescent="0.2">
      <c r="A31" s="337">
        <f t="shared" si="0"/>
        <v>20</v>
      </c>
      <c r="B31" s="338">
        <f t="shared" si="1"/>
        <v>25</v>
      </c>
      <c r="C31" s="339">
        <f t="shared" si="2"/>
        <v>9</v>
      </c>
      <c r="D31" s="338">
        <f t="shared" si="3"/>
        <v>25</v>
      </c>
      <c r="E31" s="340">
        <f t="shared" si="4"/>
        <v>22</v>
      </c>
      <c r="F31" s="338">
        <f t="shared" si="5"/>
        <v>25</v>
      </c>
      <c r="G31" s="341" t="str">
        <f t="shared" si="6"/>
        <v/>
      </c>
      <c r="H31" s="338">
        <f t="shared" si="7"/>
        <v>-975</v>
      </c>
      <c r="I31" s="342" t="str">
        <f t="shared" si="8"/>
        <v/>
      </c>
      <c r="J31" s="343">
        <f t="shared" si="9"/>
        <v>-975</v>
      </c>
      <c r="K31" s="302">
        <f t="shared" si="10"/>
        <v>25</v>
      </c>
      <c r="L31" s="363" t="s">
        <v>143</v>
      </c>
      <c r="M31" s="345"/>
      <c r="N31" s="346" t="str">
        <f t="shared" si="34"/>
        <v>m</v>
      </c>
      <c r="O31" s="347"/>
      <c r="P31" s="348" t="s">
        <v>191</v>
      </c>
      <c r="Q31" s="349" t="s">
        <v>190</v>
      </c>
      <c r="R31" s="350">
        <f>(IF(COUNT(Z31,AA31,AB31,AC31,AD31,AE31,AF31,AG31,AH31,AI31)&lt;9,SUM(Z31,AA31,AB31,AC31,AD31,AE31,AF31,AG31,AH31,AI31),SUM(LARGE((Z31,AA31,AB31,AC31,AD31,AE31,AF31,AG31,AH31,AI31),{1;2;3;4;5;6;7;8;9}))))</f>
        <v>67</v>
      </c>
      <c r="S31" s="351" t="str">
        <f>INDEX(ETAPP!B$1:B$32,MATCH(COUNTIF(Z31:AI31,PVO!A$1),ETAPP!A$1:A$32,0))&amp;INDEX(ETAPP!B$1:B$32,MATCH(COUNTIF(Z31:AI31,PVO!A$2),ETAPP!A$1:A$32,0))&amp;INDEX(ETAPP!B$1:B$32,MATCH(COUNTIF(Z31:AI31,PVO!A$3),ETAPP!A$1:A$32,0))&amp;INDEX(ETAPP!B$1:B$32,MATCH(COUNTIF(Z31:AI31,PVO!A$4),ETAPP!A$1:A$32,0))&amp;INDEX(ETAPP!B$1:B$32,MATCH(COUNTIF(Z31:AI31,PVO!A$5),ETAPP!A$1:A$32,0))&amp;INDEX(ETAPP!B$1:B$32,MATCH(COUNTIF(Z31:AI31,PVO!A$6),ETAPP!A$1:A$32,0))&amp;INDEX(ETAPP!B$1:B$32,MATCH(COUNTIF(Z31:AI31,PVO!A$7),ETAPP!A$1:A$32,0))&amp;INDEX(ETAPP!B$1:B$32,MATCH(COUNTIF(Z31:AI31,PVO!A$8),ETAPP!A$1:A$32,0))&amp;INDEX(ETAPP!B$1:B$32,MATCH(COUNTIF(Z31:AI31,PVO!A$9),ETAPP!A$1:A$32,0))&amp;INDEX(ETAPP!B$1:B$32,MATCH(COUNTIF(Z31:AI31,PVO!A$10),ETAPP!A$1:A$32,0))&amp;INDEX(ETAPP!B$1:B$32,MATCH(COUNTIF(Z31:AI31,PVO!A$11),ETAPP!A$1:A$32,0))&amp;INDEX(ETAPP!B$1:B$32,MATCH(COUNTIF(Z31:AI31,PVO!A$12),ETAPP!A$1:A$32,0))&amp;INDEX(ETAPP!B$1:B$32,MATCH(COUNTIF(Z31:AI31,PVO!A$13),ETAPP!A$1:A$32,0))&amp;INDEX(ETAPP!B$1:B$32,MATCH(COUNTIF(Z31:AI31,PVO!A$14),ETAPP!A$1:A$32,0))&amp;INDEX(ETAPP!B$1:B$32,MATCH(COUNTIF(Z31:AI31,PVO!A$15),ETAPP!A$1:A$32,0))&amp;INDEX(ETAPP!B$1:B$32,MATCH(COUNTIF(Z31:AI31,PVO!A$16),ETAPP!A$1:A$32,0))&amp;INDEX(ETAPP!B$1:B$32,MATCH(COUNTIF(Z31:AI31,PVO!A$17),ETAPP!A$1:A$32,0))&amp;INDEX(ETAPP!B$1:B$32,MATCH(COUNTIF(Z31:AI31,PVO!A$18),ETAPP!A$1:A$32,0))&amp;INDEX(ETAPP!B$1:B$32,MATCH(COUNTIF(Z31:AI31,PVO!A$19),ETAPP!A$1:A$32,0))</f>
        <v>B000A0000A000000000</v>
      </c>
      <c r="T31" s="351" t="str">
        <f t="shared" si="11"/>
        <v>067,0-B000A0000A000000000</v>
      </c>
      <c r="U31" s="351">
        <f t="shared" si="12"/>
        <v>25</v>
      </c>
      <c r="V31" s="351">
        <f t="shared" si="13"/>
        <v>7</v>
      </c>
      <c r="W31" s="351" t="str">
        <f t="shared" si="14"/>
        <v>067,0-B000A0000A000000000-007</v>
      </c>
      <c r="X31" s="351">
        <f t="shared" si="15"/>
        <v>25</v>
      </c>
      <c r="Y31" s="352">
        <f t="shared" si="16"/>
        <v>28</v>
      </c>
      <c r="Z31" s="353" t="str">
        <f>IFERROR(INDEX('V1'!C$300:C$400,MATCH("*"&amp;L31&amp;"*",'V1'!B$300:B$400,0)),"  ")</f>
        <v xml:space="preserve">  </v>
      </c>
      <c r="AA31" s="353" t="str">
        <f>IFERROR(INDEX('V2'!C$300:C$395,MATCH("*"&amp;L31&amp;"*",'V2'!B$300:B$395,0)),"  ")</f>
        <v xml:space="preserve">  </v>
      </c>
      <c r="AB31" s="353" t="str">
        <f>IFERROR(INDEX('V3'!C$300:C$400,MATCH("*"&amp;L31&amp;"*",'V3'!B$300:B$400,0)),"  ")</f>
        <v xml:space="preserve">  </v>
      </c>
      <c r="AC31" s="353" t="str">
        <f>IFERROR(INDEX('V4'!C$300:C$400,MATCH("*"&amp;L31&amp;"*",'V4'!B$300:B$400,0)),"  ")</f>
        <v xml:space="preserve">  </v>
      </c>
      <c r="AD31" s="353">
        <f>IFERROR(INDEX('V5'!C$300:C$400,MATCH("*"&amp;L31&amp;"*",'V5'!B$300:B$400,0)),"  ")</f>
        <v>20</v>
      </c>
      <c r="AE31" s="353">
        <f>IFERROR(INDEX('V6'!C$300:C$400,MATCH("*"&amp;L31&amp;"*",'V6'!B$300:B$400,0)),"  ")</f>
        <v>16</v>
      </c>
      <c r="AF31" s="353">
        <f>IFERROR(INDEX('V7'!C$300:C$400,MATCH("*"&amp;L31&amp;"*",'V7'!B$300:B$400,0)),"  ")</f>
        <v>11</v>
      </c>
      <c r="AG31" s="353" t="str">
        <f>IFERROR(INDEX('V8'!C$300:C$400,MATCH("*"&amp;L31&amp;"*",'V8'!B$300:B$400,0)),"  ")</f>
        <v xml:space="preserve">  </v>
      </c>
      <c r="AH31" s="353" t="str">
        <f>IFERROR(INDEX('V9'!C$300:C$400,MATCH("*"&amp;L31&amp;"*",'V9'!B$300:B$400,0)),"  ")</f>
        <v xml:space="preserve">  </v>
      </c>
      <c r="AI31" s="353">
        <f>IFERROR(INDEX('V10'!C$300:C$400,MATCH("*"&amp;L31&amp;"*",'V10'!B$300:B$400,0)),"  ")</f>
        <v>20</v>
      </c>
      <c r="AJ31" s="354">
        <f t="shared" si="17"/>
        <v>1</v>
      </c>
      <c r="AK31" s="354">
        <f t="shared" si="18"/>
        <v>28</v>
      </c>
      <c r="AL31" s="355" t="str">
        <f t="shared" si="19"/>
        <v>edasi 25</v>
      </c>
      <c r="AM31" s="356" t="str">
        <f>IFERROR(INDEX(#REF!,MATCH("*"&amp;L31&amp;"*",#REF!,0)),"  ")</f>
        <v xml:space="preserve">  </v>
      </c>
      <c r="AN31" s="357">
        <f t="shared" si="20"/>
        <v>4</v>
      </c>
      <c r="AO31" s="358">
        <f t="shared" si="21"/>
        <v>2</v>
      </c>
      <c r="AP31" s="358">
        <f t="shared" si="22"/>
        <v>2</v>
      </c>
      <c r="AQ31" s="373"/>
      <c r="AR31" s="359"/>
      <c r="AS31" s="360"/>
      <c r="AT31" s="360"/>
      <c r="AU31" s="360"/>
      <c r="AV31" s="360"/>
      <c r="AW31" s="359">
        <f t="shared" si="23"/>
        <v>1E-4</v>
      </c>
      <c r="AX31" s="360">
        <f t="shared" si="24"/>
        <v>1E-4</v>
      </c>
      <c r="AY31" s="360">
        <f t="shared" si="25"/>
        <v>2.0000000000000001E-4</v>
      </c>
      <c r="AZ31" s="360">
        <f t="shared" si="26"/>
        <v>2.9999999999999997E-4</v>
      </c>
      <c r="BA31" s="360">
        <f t="shared" si="27"/>
        <v>4.0000000000000002E-4</v>
      </c>
      <c r="BB31" s="360">
        <f t="shared" si="28"/>
        <v>20.000499999999999</v>
      </c>
      <c r="BC31" s="360">
        <f t="shared" si="29"/>
        <v>16.000599999999999</v>
      </c>
      <c r="BD31" s="360">
        <f t="shared" si="30"/>
        <v>11.0007</v>
      </c>
      <c r="BE31" s="360">
        <f t="shared" si="31"/>
        <v>8.0000000000000004E-4</v>
      </c>
      <c r="BF31" s="360">
        <f t="shared" si="32"/>
        <v>8.9999999999999998E-4</v>
      </c>
      <c r="BG31" s="360">
        <f t="shared" si="33"/>
        <v>20.001000000000001</v>
      </c>
    </row>
    <row r="32" spans="1:59" x14ac:dyDescent="0.2">
      <c r="A32" s="337" t="str">
        <f t="shared" si="0"/>
        <v/>
      </c>
      <c r="B32" s="338">
        <f t="shared" si="1"/>
        <v>-974</v>
      </c>
      <c r="C32" s="339" t="str">
        <f t="shared" si="2"/>
        <v/>
      </c>
      <c r="D32" s="338">
        <f t="shared" si="3"/>
        <v>-974</v>
      </c>
      <c r="E32" s="340" t="str">
        <f t="shared" si="4"/>
        <v/>
      </c>
      <c r="F32" s="338">
        <f t="shared" si="5"/>
        <v>-974</v>
      </c>
      <c r="G32" s="341">
        <f t="shared" si="6"/>
        <v>4</v>
      </c>
      <c r="H32" s="338">
        <f t="shared" si="7"/>
        <v>26</v>
      </c>
      <c r="I32" s="342" t="str">
        <f t="shared" si="8"/>
        <v/>
      </c>
      <c r="J32" s="343">
        <f t="shared" si="9"/>
        <v>-974</v>
      </c>
      <c r="K32" s="302">
        <f t="shared" si="10"/>
        <v>26</v>
      </c>
      <c r="L32" s="361" t="s">
        <v>488</v>
      </c>
      <c r="M32" s="345" t="s">
        <v>119</v>
      </c>
      <c r="N32" s="346"/>
      <c r="O32" s="347"/>
      <c r="P32" s="348"/>
      <c r="Q32" s="349"/>
      <c r="R32" s="350">
        <f>(IF(COUNT(Z32,AA32,AB32,AC32,AD32,AE32,AF32,AG32,AH32,AI32)&lt;9,SUM(Z32,AA32,AB32,AC32,AD32,AE32,AF32,AG32,AH32,AI32),SUM(LARGE((Z32,AA32,AB32,AC32,AD32,AE32,AF32,AG32,AH32,AI32),{1;2;3;4;5;6;7;8;9}))))</f>
        <v>62</v>
      </c>
      <c r="S32" s="351" t="str">
        <f>INDEX(ETAPP!B$1:B$32,MATCH(COUNTIF(Z32:AI32,PVO!A$1),ETAPP!A$1:A$32,0))&amp;INDEX(ETAPP!B$1:B$32,MATCH(COUNTIF(Z32:AI32,PVO!A$2),ETAPP!A$1:A$32,0))&amp;INDEX(ETAPP!B$1:B$32,MATCH(COUNTIF(Z32:AI32,PVO!A$3),ETAPP!A$1:A$32,0))&amp;INDEX(ETAPP!B$1:B$32,MATCH(COUNTIF(Z32:AI32,PVO!A$4),ETAPP!A$1:A$32,0))&amp;INDEX(ETAPP!B$1:B$32,MATCH(COUNTIF(Z32:AI32,PVO!A$5),ETAPP!A$1:A$32,0))&amp;INDEX(ETAPP!B$1:B$32,MATCH(COUNTIF(Z32:AI32,PVO!A$6),ETAPP!A$1:A$32,0))&amp;INDEX(ETAPP!B$1:B$32,MATCH(COUNTIF(Z32:AI32,PVO!A$7),ETAPP!A$1:A$32,0))&amp;INDEX(ETAPP!B$1:B$32,MATCH(COUNTIF(Z32:AI32,PVO!A$8),ETAPP!A$1:A$32,0))&amp;INDEX(ETAPP!B$1:B$32,MATCH(COUNTIF(Z32:AI32,PVO!A$9),ETAPP!A$1:A$32,0))&amp;INDEX(ETAPP!B$1:B$32,MATCH(COUNTIF(Z32:AI32,PVO!A$10),ETAPP!A$1:A$32,0))&amp;INDEX(ETAPP!B$1:B$32,MATCH(COUNTIF(Z32:AI32,PVO!A$11),ETAPP!A$1:A$32,0))&amp;INDEX(ETAPP!B$1:B$32,MATCH(COUNTIF(Z32:AI32,PVO!A$12),ETAPP!A$1:A$32,0))&amp;INDEX(ETAPP!B$1:B$32,MATCH(COUNTIF(Z32:AI32,PVO!A$13),ETAPP!A$1:A$32,0))&amp;INDEX(ETAPP!B$1:B$32,MATCH(COUNTIF(Z32:AI32,PVO!A$14),ETAPP!A$1:A$32,0))&amp;INDEX(ETAPP!B$1:B$32,MATCH(COUNTIF(Z32:AI32,PVO!A$15),ETAPP!A$1:A$32,0))&amp;INDEX(ETAPP!B$1:B$32,MATCH(COUNTIF(Z32:AI32,PVO!A$16),ETAPP!A$1:A$32,0))&amp;INDEX(ETAPP!B$1:B$32,MATCH(COUNTIF(Z32:AI32,PVO!A$17),ETAPP!A$1:A$32,0))&amp;INDEX(ETAPP!B$1:B$32,MATCH(COUNTIF(Z32:AI32,PVO!A$18),ETAPP!A$1:A$32,0))&amp;INDEX(ETAPP!B$1:B$32,MATCH(COUNTIF(Z32:AI32,PVO!A$19),ETAPP!A$1:A$32,0))</f>
        <v>000000ABA0A00000000</v>
      </c>
      <c r="T32" s="351" t="str">
        <f t="shared" si="11"/>
        <v>062,0-000000ABA0A00000000</v>
      </c>
      <c r="U32" s="351">
        <f t="shared" si="12"/>
        <v>26</v>
      </c>
      <c r="V32" s="351">
        <f t="shared" si="13"/>
        <v>12</v>
      </c>
      <c r="W32" s="351" t="str">
        <f t="shared" si="14"/>
        <v>062,0-000000ABA0A00000000-012</v>
      </c>
      <c r="X32" s="351">
        <f t="shared" si="15"/>
        <v>26</v>
      </c>
      <c r="Y32" s="352">
        <f t="shared" si="16"/>
        <v>27</v>
      </c>
      <c r="Z32" s="353" t="str">
        <f>IFERROR(INDEX('V1'!C$300:C$400,MATCH("*"&amp;L32&amp;"*",'V1'!B$300:B$400,0)),"  ")</f>
        <v xml:space="preserve">  </v>
      </c>
      <c r="AA32" s="353" t="str">
        <f>IFERROR(INDEX('V2'!C$300:C$395,MATCH("*"&amp;L32&amp;"*",'V2'!B$300:B$395,0)),"  ")</f>
        <v xml:space="preserve">  </v>
      </c>
      <c r="AB32" s="353" t="str">
        <f>IFERROR(INDEX('V3'!C$300:C$400,MATCH("*"&amp;L32&amp;"*",'V3'!B$300:B$400,0)),"  ")</f>
        <v xml:space="preserve">  </v>
      </c>
      <c r="AC32" s="353" t="str">
        <f>IFERROR(INDEX('V4'!C$300:C$400,MATCH("*"&amp;L32&amp;"*",'V4'!B$300:B$400,0)),"  ")</f>
        <v xml:space="preserve">  </v>
      </c>
      <c r="AD32" s="353" t="str">
        <f>IFERROR(INDEX('V5'!C$300:C$400,MATCH("*"&amp;L32&amp;"*",'V5'!B$300:B$400,0)),"  ")</f>
        <v xml:space="preserve">  </v>
      </c>
      <c r="AE32" s="353">
        <f>IFERROR(INDEX('V6'!C$300:C$400,MATCH("*"&amp;L32&amp;"*",'V6'!B$300:B$400,0)),"  ")</f>
        <v>12</v>
      </c>
      <c r="AF32" s="353">
        <f>IFERROR(INDEX('V7'!C$300:C$400,MATCH("*"&amp;L32&amp;"*",'V7'!B$300:B$400,0)),"  ")</f>
        <v>14</v>
      </c>
      <c r="AG32" s="353">
        <f>IFERROR(INDEX('V8'!C$300:C$400,MATCH("*"&amp;L32&amp;"*",'V8'!B$300:B$400,0)),"  ")</f>
        <v>13</v>
      </c>
      <c r="AH32" s="353">
        <f>IFERROR(INDEX('V9'!C$300:C$400,MATCH("*"&amp;L32&amp;"*",'V9'!B$300:B$400,0)),"  ")</f>
        <v>10</v>
      </c>
      <c r="AI32" s="353">
        <f>IFERROR(INDEX('V10'!C$300:C$400,MATCH("*"&amp;L32&amp;"*",'V10'!B$300:B$400,0)),"  ")</f>
        <v>13</v>
      </c>
      <c r="AJ32" s="354">
        <f t="shared" si="17"/>
        <v>1</v>
      </c>
      <c r="AK32" s="354">
        <f t="shared" si="18"/>
        <v>27</v>
      </c>
      <c r="AL32" s="355" t="str">
        <f t="shared" si="19"/>
        <v>edasi 26</v>
      </c>
      <c r="AM32" s="356" t="str">
        <f>IFERROR(INDEX(#REF!,MATCH("*"&amp;L32&amp;"*",#REF!,0)),"  ")</f>
        <v xml:space="preserve">  </v>
      </c>
      <c r="AN32" s="357">
        <f t="shared" si="20"/>
        <v>5</v>
      </c>
      <c r="AO32" s="358">
        <f t="shared" si="21"/>
        <v>0</v>
      </c>
      <c r="AP32" s="358">
        <f t="shared" si="22"/>
        <v>0</v>
      </c>
      <c r="AQ32" s="267"/>
      <c r="AR32" s="359"/>
      <c r="AS32" s="360"/>
      <c r="AT32" s="360"/>
      <c r="AU32" s="360"/>
      <c r="AV32" s="360"/>
      <c r="AW32" s="359">
        <f t="shared" si="23"/>
        <v>1E-4</v>
      </c>
      <c r="AX32" s="360">
        <f t="shared" si="24"/>
        <v>1E-4</v>
      </c>
      <c r="AY32" s="360">
        <f t="shared" si="25"/>
        <v>2.0000000000000001E-4</v>
      </c>
      <c r="AZ32" s="360">
        <f t="shared" si="26"/>
        <v>2.9999999999999997E-4</v>
      </c>
      <c r="BA32" s="360">
        <f t="shared" si="27"/>
        <v>4.0000000000000002E-4</v>
      </c>
      <c r="BB32" s="360">
        <f t="shared" si="28"/>
        <v>5.0000000000000001E-4</v>
      </c>
      <c r="BC32" s="360">
        <f t="shared" si="29"/>
        <v>12.0006</v>
      </c>
      <c r="BD32" s="360">
        <f t="shared" si="30"/>
        <v>14.0007</v>
      </c>
      <c r="BE32" s="360">
        <f t="shared" si="31"/>
        <v>13.0008</v>
      </c>
      <c r="BF32" s="360">
        <f t="shared" si="32"/>
        <v>10.0009</v>
      </c>
      <c r="BG32" s="360">
        <f t="shared" si="33"/>
        <v>13.000999999999999</v>
      </c>
    </row>
    <row r="33" spans="1:59" x14ac:dyDescent="0.2">
      <c r="A33" s="337">
        <f t="shared" si="0"/>
        <v>21</v>
      </c>
      <c r="B33" s="338">
        <f t="shared" si="1"/>
        <v>27</v>
      </c>
      <c r="C33" s="339">
        <f t="shared" si="2"/>
        <v>10</v>
      </c>
      <c r="D33" s="338">
        <f t="shared" si="3"/>
        <v>27</v>
      </c>
      <c r="E33" s="340">
        <f t="shared" si="4"/>
        <v>23</v>
      </c>
      <c r="F33" s="338">
        <f t="shared" si="5"/>
        <v>27</v>
      </c>
      <c r="G33" s="341" t="str">
        <f t="shared" si="6"/>
        <v/>
      </c>
      <c r="H33" s="338">
        <f t="shared" si="7"/>
        <v>-973</v>
      </c>
      <c r="I33" s="342" t="str">
        <f t="shared" si="8"/>
        <v/>
      </c>
      <c r="J33" s="343">
        <f t="shared" si="9"/>
        <v>-973</v>
      </c>
      <c r="K33" s="302">
        <f t="shared" si="10"/>
        <v>27</v>
      </c>
      <c r="L33" s="344" t="s">
        <v>142</v>
      </c>
      <c r="M33" s="345"/>
      <c r="N33" s="346" t="str">
        <f>IF(M33="","m","")</f>
        <v>m</v>
      </c>
      <c r="O33" s="347"/>
      <c r="P33" s="348" t="s">
        <v>191</v>
      </c>
      <c r="Q33" s="349" t="s">
        <v>190</v>
      </c>
      <c r="R33" s="350">
        <f>(IF(COUNT(Z33,AA33,AB33,AC33,AD33,AE33,AF33,AG33,AH33,AI33)&lt;9,SUM(Z33,AA33,AB33,AC33,AD33,AE33,AF33,AG33,AH33,AI33),SUM(LARGE((Z33,AA33,AB33,AC33,AD33,AE33,AF33,AG33,AH33,AI33),{1;2;3;4;5;6;7;8;9}))))</f>
        <v>52</v>
      </c>
      <c r="S33" s="351" t="str">
        <f>INDEX(ETAPP!B$1:B$32,MATCH(COUNTIF(Z33:AI33,PVO!A$1),ETAPP!A$1:A$32,0))&amp;INDEX(ETAPP!B$1:B$32,MATCH(COUNTIF(Z33:AI33,PVO!A$2),ETAPP!A$1:A$32,0))&amp;INDEX(ETAPP!B$1:B$32,MATCH(COUNTIF(Z33:AI33,PVO!A$3),ETAPP!A$1:A$32,0))&amp;INDEX(ETAPP!B$1:B$32,MATCH(COUNTIF(Z33:AI33,PVO!A$4),ETAPP!A$1:A$32,0))&amp;INDEX(ETAPP!B$1:B$32,MATCH(COUNTIF(Z33:AI33,PVO!A$5),ETAPP!A$1:A$32,0))&amp;INDEX(ETAPP!B$1:B$32,MATCH(COUNTIF(Z33:AI33,PVO!A$6),ETAPP!A$1:A$32,0))&amp;INDEX(ETAPP!B$1:B$32,MATCH(COUNTIF(Z33:AI33,PVO!A$7),ETAPP!A$1:A$32,0))&amp;INDEX(ETAPP!B$1:B$32,MATCH(COUNTIF(Z33:AI33,PVO!A$8),ETAPP!A$1:A$32,0))&amp;INDEX(ETAPP!B$1:B$32,MATCH(COUNTIF(Z33:AI33,PVO!A$9),ETAPP!A$1:A$32,0))&amp;INDEX(ETAPP!B$1:B$32,MATCH(COUNTIF(Z33:AI33,PVO!A$10),ETAPP!A$1:A$32,0))&amp;INDEX(ETAPP!B$1:B$32,MATCH(COUNTIF(Z33:AI33,PVO!A$11),ETAPP!A$1:A$32,0))&amp;INDEX(ETAPP!B$1:B$32,MATCH(COUNTIF(Z33:AI33,PVO!A$12),ETAPP!A$1:A$32,0))&amp;INDEX(ETAPP!B$1:B$32,MATCH(COUNTIF(Z33:AI33,PVO!A$13),ETAPP!A$1:A$32,0))&amp;INDEX(ETAPP!B$1:B$32,MATCH(COUNTIF(Z33:AI33,PVO!A$14),ETAPP!A$1:A$32,0))&amp;INDEX(ETAPP!B$1:B$32,MATCH(COUNTIF(Z33:AI33,PVO!A$15),ETAPP!A$1:A$32,0))&amp;INDEX(ETAPP!B$1:B$32,MATCH(COUNTIF(Z33:AI33,PVO!A$16),ETAPP!A$1:A$32,0))&amp;INDEX(ETAPP!B$1:B$32,MATCH(COUNTIF(Z33:AI33,PVO!A$17),ETAPP!A$1:A$32,0))&amp;INDEX(ETAPP!B$1:B$32,MATCH(COUNTIF(Z33:AI33,PVO!A$18),ETAPP!A$1:A$32,0))&amp;INDEX(ETAPP!B$1:B$32,MATCH(COUNTIF(Z33:AI33,PVO!A$19),ETAPP!A$1:A$32,0))</f>
        <v>000A0000AA000A0A000</v>
      </c>
      <c r="T33" s="351" t="str">
        <f t="shared" si="11"/>
        <v>052,0-000A0000AA000A0A000</v>
      </c>
      <c r="U33" s="351">
        <f t="shared" si="12"/>
        <v>27</v>
      </c>
      <c r="V33" s="351">
        <f t="shared" si="13"/>
        <v>40</v>
      </c>
      <c r="W33" s="351" t="str">
        <f t="shared" si="14"/>
        <v>052,0-000A0000AA000A0A000-040</v>
      </c>
      <c r="X33" s="351">
        <f t="shared" si="15"/>
        <v>27</v>
      </c>
      <c r="Y33" s="352">
        <f t="shared" si="16"/>
        <v>26</v>
      </c>
      <c r="Z33" s="353">
        <f>IFERROR(INDEX('V1'!C$300:C$400,MATCH("*"&amp;L33&amp;"*",'V1'!B$300:B$400,0)),"  ")</f>
        <v>17</v>
      </c>
      <c r="AA33" s="353" t="str">
        <f>IFERROR(INDEX('V2'!C$300:C$395,MATCH("*"&amp;L33&amp;"*",'V2'!B$300:B$395,0)),"  ")</f>
        <v xml:space="preserve">  </v>
      </c>
      <c r="AB33" s="353" t="str">
        <f>IFERROR(INDEX('V3'!C$300:C$400,MATCH("*"&amp;L33&amp;"*",'V3'!B$300:B$400,0)),"  ")</f>
        <v xml:space="preserve">  </v>
      </c>
      <c r="AC33" s="353">
        <f>IFERROR(INDEX('V4'!C$300:C$400,MATCH("*"&amp;L33&amp;"*",'V4'!B$300:B$400,0)),"  ")</f>
        <v>11</v>
      </c>
      <c r="AD33" s="353" t="str">
        <f>IFERROR(INDEX('V5'!C$300:C$400,MATCH("*"&amp;L33&amp;"*",'V5'!B$300:B$400,0)),"  ")</f>
        <v xml:space="preserve">  </v>
      </c>
      <c r="AE33" s="353">
        <f>IFERROR(INDEX('V6'!C$300:C$400,MATCH("*"&amp;L33&amp;"*",'V6'!B$300:B$400,0)),"  ")</f>
        <v>7</v>
      </c>
      <c r="AF33" s="353">
        <f>IFERROR(INDEX('V7'!C$300:C$400,MATCH("*"&amp;L33&amp;"*",'V7'!B$300:B$400,0)),"  ")</f>
        <v>5</v>
      </c>
      <c r="AG33" s="353" t="str">
        <f>IFERROR(INDEX('V8'!C$300:C$400,MATCH("*"&amp;L33&amp;"*",'V8'!B$300:B$400,0)),"  ")</f>
        <v xml:space="preserve">  </v>
      </c>
      <c r="AH33" s="353">
        <f>IFERROR(INDEX('V9'!C$300:C$400,MATCH("*"&amp;L33&amp;"*",'V9'!B$300:B$400,0)),"  ")</f>
        <v>12</v>
      </c>
      <c r="AI33" s="353" t="str">
        <f>IFERROR(INDEX('V10'!C$300:C$400,MATCH("*"&amp;L33&amp;"*",'V10'!B$300:B$400,0)),"  ")</f>
        <v xml:space="preserve">  </v>
      </c>
      <c r="AJ33" s="354">
        <f t="shared" si="17"/>
        <v>1</v>
      </c>
      <c r="AK33" s="354">
        <f t="shared" si="18"/>
        <v>26</v>
      </c>
      <c r="AL33" s="355" t="str">
        <f t="shared" si="19"/>
        <v>edasi 27</v>
      </c>
      <c r="AM33" s="356" t="str">
        <f>IFERROR(INDEX(#REF!,MATCH("*"&amp;L33&amp;"*",#REF!,0)),"  ")</f>
        <v xml:space="preserve">  </v>
      </c>
      <c r="AN33" s="357">
        <f t="shared" si="20"/>
        <v>5</v>
      </c>
      <c r="AO33" s="358">
        <f t="shared" si="21"/>
        <v>0</v>
      </c>
      <c r="AP33" s="358">
        <f t="shared" si="22"/>
        <v>0</v>
      </c>
      <c r="AQ33" s="373"/>
      <c r="AR33" s="359"/>
      <c r="AS33" s="360"/>
      <c r="AT33" s="360"/>
      <c r="AU33" s="360"/>
      <c r="AV33" s="360"/>
      <c r="AW33" s="359">
        <f t="shared" si="23"/>
        <v>2.0000000000000001E-4</v>
      </c>
      <c r="AX33" s="360">
        <f t="shared" si="24"/>
        <v>17.0001</v>
      </c>
      <c r="AY33" s="360">
        <f t="shared" si="25"/>
        <v>2.0000000000000001E-4</v>
      </c>
      <c r="AZ33" s="360">
        <f t="shared" si="26"/>
        <v>2.9999999999999997E-4</v>
      </c>
      <c r="BA33" s="360">
        <f t="shared" si="27"/>
        <v>11.000400000000001</v>
      </c>
      <c r="BB33" s="360">
        <f t="shared" si="28"/>
        <v>5.0000000000000001E-4</v>
      </c>
      <c r="BC33" s="360">
        <f t="shared" si="29"/>
        <v>7.0006000000000004</v>
      </c>
      <c r="BD33" s="360">
        <f t="shared" si="30"/>
        <v>5.0007000000000001</v>
      </c>
      <c r="BE33" s="360">
        <f t="shared" si="31"/>
        <v>8.0000000000000004E-4</v>
      </c>
      <c r="BF33" s="360">
        <f t="shared" si="32"/>
        <v>12.0009</v>
      </c>
      <c r="BG33" s="360">
        <f t="shared" si="33"/>
        <v>1E-3</v>
      </c>
    </row>
    <row r="34" spans="1:59" x14ac:dyDescent="0.2">
      <c r="A34" s="337" t="str">
        <f t="shared" si="0"/>
        <v/>
      </c>
      <c r="B34" s="338">
        <f t="shared" si="1"/>
        <v>-972</v>
      </c>
      <c r="C34" s="339" t="str">
        <f t="shared" si="2"/>
        <v/>
      </c>
      <c r="D34" s="338">
        <f t="shared" si="3"/>
        <v>-972</v>
      </c>
      <c r="E34" s="340">
        <f t="shared" si="4"/>
        <v>24</v>
      </c>
      <c r="F34" s="338">
        <f t="shared" si="5"/>
        <v>28</v>
      </c>
      <c r="G34" s="341" t="str">
        <f t="shared" si="6"/>
        <v/>
      </c>
      <c r="H34" s="338">
        <f t="shared" si="7"/>
        <v>-972</v>
      </c>
      <c r="I34" s="342" t="str">
        <f t="shared" si="8"/>
        <v/>
      </c>
      <c r="J34" s="343">
        <f t="shared" si="9"/>
        <v>-972</v>
      </c>
      <c r="K34" s="302">
        <f t="shared" si="10"/>
        <v>28</v>
      </c>
      <c r="L34" s="362" t="s">
        <v>122</v>
      </c>
      <c r="M34" s="345"/>
      <c r="N34" s="346" t="str">
        <f>IF(M34="","m","")</f>
        <v>m</v>
      </c>
      <c r="O34" s="347"/>
      <c r="P34" s="348"/>
      <c r="Q34" s="349"/>
      <c r="R34" s="350">
        <f>(IF(COUNT(Z34,AA34,AB34,AC34,AD34,AE34,AF34,AG34,AH34,AI34)&lt;9,SUM(Z34,AA34,AB34,AC34,AD34,AE34,AF34,AG34,AH34,AI34),SUM(LARGE((Z34,AA34,AB34,AC34,AD34,AE34,AF34,AG34,AH34,AI34),{1;2;3;4;5;6;7;8;9}))))</f>
        <v>46</v>
      </c>
      <c r="S34" s="351" t="str">
        <f>INDEX(ETAPP!B$1:B$32,MATCH(COUNTIF(Z34:AI34,PVO!A$1),ETAPP!A$1:A$32,0))&amp;INDEX(ETAPP!B$1:B$32,MATCH(COUNTIF(Z34:AI34,PVO!A$2),ETAPP!A$1:A$32,0))&amp;INDEX(ETAPP!B$1:B$32,MATCH(COUNTIF(Z34:AI34,PVO!A$3),ETAPP!A$1:A$32,0))&amp;INDEX(ETAPP!B$1:B$32,MATCH(COUNTIF(Z34:AI34,PVO!A$4),ETAPP!A$1:A$32,0))&amp;INDEX(ETAPP!B$1:B$32,MATCH(COUNTIF(Z34:AI34,PVO!A$5),ETAPP!A$1:A$32,0))&amp;INDEX(ETAPP!B$1:B$32,MATCH(COUNTIF(Z34:AI34,PVO!A$6),ETAPP!A$1:A$32,0))&amp;INDEX(ETAPP!B$1:B$32,MATCH(COUNTIF(Z34:AI34,PVO!A$7),ETAPP!A$1:A$32,0))&amp;INDEX(ETAPP!B$1:B$32,MATCH(COUNTIF(Z34:AI34,PVO!A$8),ETAPP!A$1:A$32,0))&amp;INDEX(ETAPP!B$1:B$32,MATCH(COUNTIF(Z34:AI34,PVO!A$9),ETAPP!A$1:A$32,0))&amp;INDEX(ETAPP!B$1:B$32,MATCH(COUNTIF(Z34:AI34,PVO!A$10),ETAPP!A$1:A$32,0))&amp;INDEX(ETAPP!B$1:B$32,MATCH(COUNTIF(Z34:AI34,PVO!A$11),ETAPP!A$1:A$32,0))&amp;INDEX(ETAPP!B$1:B$32,MATCH(COUNTIF(Z34:AI34,PVO!A$12),ETAPP!A$1:A$32,0))&amp;INDEX(ETAPP!B$1:B$32,MATCH(COUNTIF(Z34:AI34,PVO!A$13),ETAPP!A$1:A$32,0))&amp;INDEX(ETAPP!B$1:B$32,MATCH(COUNTIF(Z34:AI34,PVO!A$14),ETAPP!A$1:A$32,0))&amp;INDEX(ETAPP!B$1:B$32,MATCH(COUNTIF(Z34:AI34,PVO!A$15),ETAPP!A$1:A$32,0))&amp;INDEX(ETAPP!B$1:B$32,MATCH(COUNTIF(Z34:AI34,PVO!A$16),ETAPP!A$1:A$32,0))&amp;INDEX(ETAPP!B$1:B$32,MATCH(COUNTIF(Z34:AI34,PVO!A$17),ETAPP!A$1:A$32,0))&amp;INDEX(ETAPP!B$1:B$32,MATCH(COUNTIF(Z34:AI34,PVO!A$18),ETAPP!A$1:A$32,0))&amp;INDEX(ETAPP!B$1:B$32,MATCH(COUNTIF(Z34:AI34,PVO!A$19),ETAPP!A$1:A$32,0))</f>
        <v>0000AB0000000000000</v>
      </c>
      <c r="T34" s="351" t="str">
        <f t="shared" si="11"/>
        <v>046,0-0000AB0000000000000</v>
      </c>
      <c r="U34" s="351">
        <f t="shared" si="12"/>
        <v>28</v>
      </c>
      <c r="V34" s="351">
        <f t="shared" si="13"/>
        <v>1</v>
      </c>
      <c r="W34" s="351" t="str">
        <f t="shared" si="14"/>
        <v>046,0-0000AB0000000000000-001</v>
      </c>
      <c r="X34" s="351">
        <f t="shared" si="15"/>
        <v>28</v>
      </c>
      <c r="Y34" s="352">
        <f t="shared" si="16"/>
        <v>25</v>
      </c>
      <c r="Z34" s="353">
        <f>IFERROR(INDEX('V1'!C$300:C$400,MATCH("*"&amp;L34&amp;"*",'V1'!B$300:B$400,0)),"  ")</f>
        <v>16</v>
      </c>
      <c r="AA34" s="353">
        <f>IFERROR(INDEX('V2'!C$300:C$395,MATCH("*"&amp;L34&amp;"*",'V2'!B$300:B$395,0)),"  ")</f>
        <v>15</v>
      </c>
      <c r="AB34" s="353">
        <f>IFERROR(INDEX('V3'!C$300:C$400,MATCH("*"&amp;L34&amp;"*",'V3'!B$300:B$400,0)),"  ")</f>
        <v>15</v>
      </c>
      <c r="AC34" s="353" t="str">
        <f>IFERROR(INDEX('V4'!C$300:C$400,MATCH("*"&amp;L34&amp;"*",'V4'!B$300:B$400,0)),"  ")</f>
        <v xml:space="preserve">  </v>
      </c>
      <c r="AD34" s="353" t="str">
        <f>IFERROR(INDEX('V5'!C$300:C$400,MATCH("*"&amp;L34&amp;"*",'V5'!B$300:B$400,0)),"  ")</f>
        <v xml:space="preserve">  </v>
      </c>
      <c r="AE34" s="353" t="str">
        <f>IFERROR(INDEX('V6'!C$300:C$400,MATCH("*"&amp;L34&amp;"*",'V6'!B$300:B$400,0)),"  ")</f>
        <v xml:space="preserve">  </v>
      </c>
      <c r="AF34" s="353" t="str">
        <f>IFERROR(INDEX('V7'!C$300:C$400,MATCH("*"&amp;L34&amp;"*",'V7'!B$300:B$400,0)),"  ")</f>
        <v xml:space="preserve">  </v>
      </c>
      <c r="AG34" s="353" t="str">
        <f>IFERROR(INDEX('V8'!C$300:C$400,MATCH("*"&amp;L34&amp;"*",'V8'!B$300:B$400,0)),"  ")</f>
        <v xml:space="preserve">  </v>
      </c>
      <c r="AH34" s="353" t="str">
        <f>IFERROR(INDEX('V9'!C$300:C$400,MATCH("*"&amp;L34&amp;"*",'V9'!B$300:B$400,0)),"  ")</f>
        <v xml:space="preserve">  </v>
      </c>
      <c r="AI34" s="353" t="str">
        <f>IFERROR(INDEX('V10'!C$300:C$400,MATCH("*"&amp;L34&amp;"*",'V10'!B$300:B$400,0)),"  ")</f>
        <v xml:space="preserve">  </v>
      </c>
      <c r="AJ34" s="354">
        <f t="shared" si="17"/>
        <v>1</v>
      </c>
      <c r="AK34" s="354">
        <f t="shared" si="18"/>
        <v>25</v>
      </c>
      <c r="AL34" s="355" t="str">
        <f t="shared" si="19"/>
        <v>edasi 28</v>
      </c>
      <c r="AM34" s="356" t="str">
        <f>IFERROR(INDEX(#REF!,MATCH("*"&amp;L34&amp;"*",#REF!,0)),"  ")</f>
        <v xml:space="preserve">  </v>
      </c>
      <c r="AN34" s="357">
        <f t="shared" si="20"/>
        <v>3</v>
      </c>
      <c r="AO34" s="358">
        <f t="shared" si="21"/>
        <v>0</v>
      </c>
      <c r="AP34" s="358">
        <f t="shared" si="22"/>
        <v>0</v>
      </c>
      <c r="AQ34" s="267"/>
      <c r="AR34" s="359"/>
      <c r="AS34" s="360"/>
      <c r="AT34" s="360"/>
      <c r="AU34" s="360"/>
      <c r="AV34" s="360"/>
      <c r="AW34" s="359">
        <f t="shared" si="23"/>
        <v>4.0000000000000002E-4</v>
      </c>
      <c r="AX34" s="360">
        <f t="shared" si="24"/>
        <v>16.0001</v>
      </c>
      <c r="AY34" s="360">
        <f t="shared" si="25"/>
        <v>15.0002</v>
      </c>
      <c r="AZ34" s="360">
        <f t="shared" si="26"/>
        <v>15.000299999999999</v>
      </c>
      <c r="BA34" s="360">
        <f t="shared" si="27"/>
        <v>4.0000000000000002E-4</v>
      </c>
      <c r="BB34" s="360">
        <f t="shared" si="28"/>
        <v>5.0000000000000001E-4</v>
      </c>
      <c r="BC34" s="360">
        <f t="shared" si="29"/>
        <v>5.9999999999999995E-4</v>
      </c>
      <c r="BD34" s="360">
        <f t="shared" si="30"/>
        <v>6.9999999999999999E-4</v>
      </c>
      <c r="BE34" s="360">
        <f t="shared" si="31"/>
        <v>8.0000000000000004E-4</v>
      </c>
      <c r="BF34" s="360">
        <f t="shared" si="32"/>
        <v>8.9999999999999998E-4</v>
      </c>
      <c r="BG34" s="360">
        <f t="shared" si="33"/>
        <v>1E-3</v>
      </c>
    </row>
    <row r="35" spans="1:59" x14ac:dyDescent="0.2">
      <c r="A35" s="337" t="str">
        <f t="shared" si="0"/>
        <v/>
      </c>
      <c r="B35" s="338">
        <f t="shared" si="1"/>
        <v>-971</v>
      </c>
      <c r="C35" s="339" t="str">
        <f t="shared" si="2"/>
        <v/>
      </c>
      <c r="D35" s="338">
        <f t="shared" si="3"/>
        <v>-971</v>
      </c>
      <c r="E35" s="340">
        <f t="shared" si="4"/>
        <v>25</v>
      </c>
      <c r="F35" s="338">
        <f t="shared" si="5"/>
        <v>29</v>
      </c>
      <c r="G35" s="341" t="str">
        <f t="shared" si="6"/>
        <v/>
      </c>
      <c r="H35" s="338">
        <f t="shared" si="7"/>
        <v>-971</v>
      </c>
      <c r="I35" s="342" t="str">
        <f t="shared" si="8"/>
        <v/>
      </c>
      <c r="J35" s="343">
        <f t="shared" si="9"/>
        <v>-971</v>
      </c>
      <c r="K35" s="302">
        <f t="shared" si="10"/>
        <v>29</v>
      </c>
      <c r="L35" s="344" t="s">
        <v>153</v>
      </c>
      <c r="M35" s="345"/>
      <c r="N35" s="346" t="s">
        <v>192</v>
      </c>
      <c r="O35" s="347"/>
      <c r="P35" s="348"/>
      <c r="Q35" s="349"/>
      <c r="R35" s="350">
        <f>(IF(COUNT(Z35,AA35,AB35,AC35,AD35,AE35,AF35,AG35,AH35,AI35)&lt;9,SUM(Z35,AA35,AB35,AC35,AD35,AE35,AF35,AG35,AH35,AI35),SUM(LARGE((Z35,AA35,AB35,AC35,AD35,AE35,AF35,AG35,AH35,AI35),{1;2;3;4;5;6;7;8;9}))))</f>
        <v>42</v>
      </c>
      <c r="S35" s="351" t="str">
        <f>INDEX(ETAPP!B$1:B$32,MATCH(COUNTIF(Z35:AI35,PVO!A$1),ETAPP!A$1:A$32,0))&amp;INDEX(ETAPP!B$1:B$32,MATCH(COUNTIF(Z35:AI35,PVO!A$2),ETAPP!A$1:A$32,0))&amp;INDEX(ETAPP!B$1:B$32,MATCH(COUNTIF(Z35:AI35,PVO!A$3),ETAPP!A$1:A$32,0))&amp;INDEX(ETAPP!B$1:B$32,MATCH(COUNTIF(Z35:AI35,PVO!A$4),ETAPP!A$1:A$32,0))&amp;INDEX(ETAPP!B$1:B$32,MATCH(COUNTIF(Z35:AI35,PVO!A$5),ETAPP!A$1:A$32,0))&amp;INDEX(ETAPP!B$1:B$32,MATCH(COUNTIF(Z35:AI35,PVO!A$6),ETAPP!A$1:A$32,0))&amp;INDEX(ETAPP!B$1:B$32,MATCH(COUNTIF(Z35:AI35,PVO!A$7),ETAPP!A$1:A$32,0))&amp;INDEX(ETAPP!B$1:B$32,MATCH(COUNTIF(Z35:AI35,PVO!A$8),ETAPP!A$1:A$32,0))&amp;INDEX(ETAPP!B$1:B$32,MATCH(COUNTIF(Z35:AI35,PVO!A$9),ETAPP!A$1:A$32,0))&amp;INDEX(ETAPP!B$1:B$32,MATCH(COUNTIF(Z35:AI35,PVO!A$10),ETAPP!A$1:A$32,0))&amp;INDEX(ETAPP!B$1:B$32,MATCH(COUNTIF(Z35:AI35,PVO!A$11),ETAPP!A$1:A$32,0))&amp;INDEX(ETAPP!B$1:B$32,MATCH(COUNTIF(Z35:AI35,PVO!A$12),ETAPP!A$1:A$32,0))&amp;INDEX(ETAPP!B$1:B$32,MATCH(COUNTIF(Z35:AI35,PVO!A$13),ETAPP!A$1:A$32,0))&amp;INDEX(ETAPP!B$1:B$32,MATCH(COUNTIF(Z35:AI35,PVO!A$14),ETAPP!A$1:A$32,0))&amp;INDEX(ETAPP!B$1:B$32,MATCH(COUNTIF(Z35:AI35,PVO!A$15),ETAPP!A$1:A$32,0))&amp;INDEX(ETAPP!B$1:B$32,MATCH(COUNTIF(Z35:AI35,PVO!A$16),ETAPP!A$1:A$32,0))&amp;INDEX(ETAPP!B$1:B$32,MATCH(COUNTIF(Z35:AI35,PVO!A$17),ETAPP!A$1:A$32,0))&amp;INDEX(ETAPP!B$1:B$32,MATCH(COUNTIF(Z35:AI35,PVO!A$18),ETAPP!A$1:A$32,0))&amp;INDEX(ETAPP!B$1:B$32,MATCH(COUNTIF(Z35:AI35,PVO!A$19),ETAPP!A$1:A$32,0))</f>
        <v>00A0000A0A000000000</v>
      </c>
      <c r="T35" s="351" t="str">
        <f t="shared" si="11"/>
        <v>042,0-00A0000A0A000000000</v>
      </c>
      <c r="U35" s="351">
        <f t="shared" si="12"/>
        <v>29</v>
      </c>
      <c r="V35" s="351">
        <f t="shared" si="13"/>
        <v>46</v>
      </c>
      <c r="W35" s="351" t="str">
        <f t="shared" si="14"/>
        <v>042,0-00A0000A0A000000000-046</v>
      </c>
      <c r="X35" s="351">
        <f t="shared" si="15"/>
        <v>29</v>
      </c>
      <c r="Y35" s="352">
        <f t="shared" si="16"/>
        <v>24</v>
      </c>
      <c r="Z35" s="353" t="str">
        <f>IFERROR(INDEX('V1'!C$300:C$400,MATCH("*"&amp;L35&amp;"*",'V1'!B$300:B$400,0)),"  ")</f>
        <v xml:space="preserve">  </v>
      </c>
      <c r="AA35" s="353" t="str">
        <f>IFERROR(INDEX('V2'!C$300:C$395,MATCH("*"&amp;L35&amp;"*",'V2'!B$300:B$395,0)),"  ")</f>
        <v xml:space="preserve">  </v>
      </c>
      <c r="AB35" s="353">
        <f>IFERROR(INDEX('V3'!C$300:C$400,MATCH("*"&amp;L35&amp;"*",'V3'!B$300:B$400,0)),"  ")</f>
        <v>11</v>
      </c>
      <c r="AC35" s="353">
        <f>IFERROR(INDEX('V4'!C$300:C$400,MATCH("*"&amp;L35&amp;"*",'V4'!B$300:B$400,0)),"  ")</f>
        <v>13</v>
      </c>
      <c r="AD35" s="353" t="str">
        <f>IFERROR(INDEX('V5'!C$300:C$400,MATCH("*"&amp;L35&amp;"*",'V5'!B$300:B$400,0)),"  ")</f>
        <v xml:space="preserve">  </v>
      </c>
      <c r="AE35" s="353">
        <f>IFERROR(INDEX('V6'!C$300:C$400,MATCH("*"&amp;L35&amp;"*",'V6'!B$300:B$400,0)),"  ")</f>
        <v>18</v>
      </c>
      <c r="AF35" s="353" t="str">
        <f>IFERROR(INDEX('V7'!C$300:C$400,MATCH("*"&amp;L35&amp;"*",'V7'!B$300:B$400,0)),"  ")</f>
        <v xml:space="preserve">  </v>
      </c>
      <c r="AG35" s="353" t="str">
        <f>IFERROR(INDEX('V8'!C$300:C$400,MATCH("*"&amp;L35&amp;"*",'V8'!B$300:B$400,0)),"  ")</f>
        <v xml:space="preserve">  </v>
      </c>
      <c r="AH35" s="353" t="str">
        <f>IFERROR(INDEX('V9'!C$300:C$400,MATCH("*"&amp;L35&amp;"*",'V9'!B$300:B$400,0)),"  ")</f>
        <v xml:space="preserve">  </v>
      </c>
      <c r="AI35" s="353" t="str">
        <f>IFERROR(INDEX('V10'!C$300:C$400,MATCH("*"&amp;L35&amp;"*",'V10'!B$300:B$400,0)),"  ")</f>
        <v xml:space="preserve">  </v>
      </c>
      <c r="AJ35" s="354">
        <f t="shared" si="17"/>
        <v>1</v>
      </c>
      <c r="AK35" s="354">
        <f t="shared" si="18"/>
        <v>24</v>
      </c>
      <c r="AL35" s="355" t="str">
        <f t="shared" si="19"/>
        <v>edasi 29</v>
      </c>
      <c r="AM35" s="356" t="str">
        <f>IFERROR(INDEX(#REF!,MATCH("*"&amp;L35&amp;"*",#REF!,0)),"  ")</f>
        <v xml:space="preserve">  </v>
      </c>
      <c r="AN35" s="357">
        <f t="shared" si="20"/>
        <v>3</v>
      </c>
      <c r="AO35" s="358">
        <f t="shared" si="21"/>
        <v>1</v>
      </c>
      <c r="AP35" s="358">
        <f t="shared" si="22"/>
        <v>0</v>
      </c>
      <c r="AQ35" s="267"/>
      <c r="AR35" s="359"/>
      <c r="AS35" s="360"/>
      <c r="AT35" s="360"/>
      <c r="AU35" s="360"/>
      <c r="AV35" s="360"/>
      <c r="AW35" s="359">
        <f t="shared" si="23"/>
        <v>1E-4</v>
      </c>
      <c r="AX35" s="360">
        <f t="shared" si="24"/>
        <v>1E-4</v>
      </c>
      <c r="AY35" s="360">
        <f t="shared" si="25"/>
        <v>2.0000000000000001E-4</v>
      </c>
      <c r="AZ35" s="360">
        <f t="shared" si="26"/>
        <v>11.000299999999999</v>
      </c>
      <c r="BA35" s="360">
        <f t="shared" si="27"/>
        <v>13.000400000000001</v>
      </c>
      <c r="BB35" s="360">
        <f t="shared" si="28"/>
        <v>5.0000000000000001E-4</v>
      </c>
      <c r="BC35" s="360">
        <f t="shared" si="29"/>
        <v>18.000599999999999</v>
      </c>
      <c r="BD35" s="360">
        <f t="shared" si="30"/>
        <v>6.9999999999999999E-4</v>
      </c>
      <c r="BE35" s="360">
        <f t="shared" si="31"/>
        <v>8.0000000000000004E-4</v>
      </c>
      <c r="BF35" s="360">
        <f t="shared" si="32"/>
        <v>8.9999999999999998E-4</v>
      </c>
      <c r="BG35" s="360">
        <f t="shared" si="33"/>
        <v>1E-3</v>
      </c>
    </row>
    <row r="36" spans="1:59" x14ac:dyDescent="0.2">
      <c r="A36" s="337">
        <f t="shared" si="0"/>
        <v>22</v>
      </c>
      <c r="B36" s="338">
        <f t="shared" si="1"/>
        <v>30</v>
      </c>
      <c r="C36" s="339" t="str">
        <f t="shared" si="2"/>
        <v/>
      </c>
      <c r="D36" s="338">
        <f t="shared" si="3"/>
        <v>-970</v>
      </c>
      <c r="E36" s="340" t="str">
        <f t="shared" si="4"/>
        <v/>
      </c>
      <c r="F36" s="338">
        <f t="shared" si="5"/>
        <v>-970</v>
      </c>
      <c r="G36" s="341">
        <f t="shared" si="6"/>
        <v>5</v>
      </c>
      <c r="H36" s="338">
        <f t="shared" si="7"/>
        <v>30</v>
      </c>
      <c r="I36" s="342" t="str">
        <f t="shared" si="8"/>
        <v/>
      </c>
      <c r="J36" s="343">
        <f t="shared" si="9"/>
        <v>-970</v>
      </c>
      <c r="K36" s="302">
        <f t="shared" si="10"/>
        <v>30</v>
      </c>
      <c r="L36" s="361" t="s">
        <v>127</v>
      </c>
      <c r="M36" s="345" t="s">
        <v>119</v>
      </c>
      <c r="N36" s="346"/>
      <c r="O36" s="347"/>
      <c r="P36" s="348"/>
      <c r="Q36" s="349" t="s">
        <v>190</v>
      </c>
      <c r="R36" s="350">
        <f>(IF(COUNT(Z36,AA36,AB36,AC36,AD36,AE36,AF36,AG36,AH36,AI36)&lt;9,SUM(Z36,AA36,AB36,AC36,AD36,AE36,AF36,AG36,AH36,AI36),SUM(LARGE((Z36,AA36,AB36,AC36,AD36,AE36,AF36,AG36,AH36,AI36),{1;2;3;4;5;6;7;8;9}))))</f>
        <v>34</v>
      </c>
      <c r="S36" s="351" t="str">
        <f>INDEX(ETAPP!B$1:B$32,MATCH(COUNTIF(Z36:AI36,PVO!A$1),ETAPP!A$1:A$32,0))&amp;INDEX(ETAPP!B$1:B$32,MATCH(COUNTIF(Z36:AI36,PVO!A$2),ETAPP!A$1:A$32,0))&amp;INDEX(ETAPP!B$1:B$32,MATCH(COUNTIF(Z36:AI36,PVO!A$3),ETAPP!A$1:A$32,0))&amp;INDEX(ETAPP!B$1:B$32,MATCH(COUNTIF(Z36:AI36,PVO!A$4),ETAPP!A$1:A$32,0))&amp;INDEX(ETAPP!B$1:B$32,MATCH(COUNTIF(Z36:AI36,PVO!A$5),ETAPP!A$1:A$32,0))&amp;INDEX(ETAPP!B$1:B$32,MATCH(COUNTIF(Z36:AI36,PVO!A$6),ETAPP!A$1:A$32,0))&amp;INDEX(ETAPP!B$1:B$32,MATCH(COUNTIF(Z36:AI36,PVO!A$7),ETAPP!A$1:A$32,0))&amp;INDEX(ETAPP!B$1:B$32,MATCH(COUNTIF(Z36:AI36,PVO!A$8),ETAPP!A$1:A$32,0))&amp;INDEX(ETAPP!B$1:B$32,MATCH(COUNTIF(Z36:AI36,PVO!A$9),ETAPP!A$1:A$32,0))&amp;INDEX(ETAPP!B$1:B$32,MATCH(COUNTIF(Z36:AI36,PVO!A$10),ETAPP!A$1:A$32,0))&amp;INDEX(ETAPP!B$1:B$32,MATCH(COUNTIF(Z36:AI36,PVO!A$11),ETAPP!A$1:A$32,0))&amp;INDEX(ETAPP!B$1:B$32,MATCH(COUNTIF(Z36:AI36,PVO!A$12),ETAPP!A$1:A$32,0))&amp;INDEX(ETAPP!B$1:B$32,MATCH(COUNTIF(Z36:AI36,PVO!A$13),ETAPP!A$1:A$32,0))&amp;INDEX(ETAPP!B$1:B$32,MATCH(COUNTIF(Z36:AI36,PVO!A$14),ETAPP!A$1:A$32,0))&amp;INDEX(ETAPP!B$1:B$32,MATCH(COUNTIF(Z36:AI36,PVO!A$15),ETAPP!A$1:A$32,0))&amp;INDEX(ETAPP!B$1:B$32,MATCH(COUNTIF(Z36:AI36,PVO!A$16),ETAPP!A$1:A$32,0))&amp;INDEX(ETAPP!B$1:B$32,MATCH(COUNTIF(Z36:AI36,PVO!A$17),ETAPP!A$1:A$32,0))&amp;INDEX(ETAPP!B$1:B$32,MATCH(COUNTIF(Z36:AI36,PVO!A$18),ETAPP!A$1:A$32,0))&amp;INDEX(ETAPP!B$1:B$32,MATCH(COUNTIF(Z36:AI36,PVO!A$19),ETAPP!A$1:A$32,0))</f>
        <v>00A0A00000000000000</v>
      </c>
      <c r="T36" s="351" t="str">
        <f t="shared" si="11"/>
        <v>034,0-00A0A00000000000000</v>
      </c>
      <c r="U36" s="351">
        <f t="shared" si="12"/>
        <v>30</v>
      </c>
      <c r="V36" s="351">
        <f t="shared" si="13"/>
        <v>20</v>
      </c>
      <c r="W36" s="351" t="str">
        <f t="shared" si="14"/>
        <v>034,0-00A0A00000000000000-020</v>
      </c>
      <c r="X36" s="351">
        <f t="shared" si="15"/>
        <v>30</v>
      </c>
      <c r="Y36" s="352">
        <f t="shared" si="16"/>
        <v>23</v>
      </c>
      <c r="Z36" s="353" t="str">
        <f>IFERROR(INDEX('V1'!C$300:C$400,MATCH("*"&amp;L36&amp;"*",'V1'!B$300:B$400,0)),"  ")</f>
        <v xml:space="preserve">  </v>
      </c>
      <c r="AA36" s="353" t="str">
        <f>IFERROR(INDEX('V2'!C$300:C$395,MATCH("*"&amp;L36&amp;"*",'V2'!B$300:B$395,0)),"  ")</f>
        <v xml:space="preserve">  </v>
      </c>
      <c r="AB36" s="353" t="str">
        <f>IFERROR(INDEX('V3'!C$300:C$400,MATCH("*"&amp;L36&amp;"*",'V3'!B$300:B$400,0)),"  ")</f>
        <v xml:space="preserve">  </v>
      </c>
      <c r="AC36" s="353" t="str">
        <f>IFERROR(INDEX('V4'!C$300:C$400,MATCH("*"&amp;L36&amp;"*",'V4'!B$300:B$400,0)),"  ")</f>
        <v xml:space="preserve">  </v>
      </c>
      <c r="AD36" s="353" t="str">
        <f>IFERROR(INDEX('V5'!C$300:C$400,MATCH("*"&amp;L36&amp;"*",'V5'!B$300:B$400,0)),"  ")</f>
        <v xml:space="preserve">  </v>
      </c>
      <c r="AE36" s="353" t="str">
        <f>IFERROR(INDEX('V6'!C$300:C$400,MATCH("*"&amp;L36&amp;"*",'V6'!B$300:B$400,0)),"  ")</f>
        <v xml:space="preserve">  </v>
      </c>
      <c r="AF36" s="353" t="str">
        <f>IFERROR(INDEX('V7'!C$300:C$400,MATCH("*"&amp;L36&amp;"*",'V7'!B$300:B$400,0)),"  ")</f>
        <v xml:space="preserve">  </v>
      </c>
      <c r="AG36" s="353">
        <f>IFERROR(INDEX('V8'!C$300:C$400,MATCH("*"&amp;L36&amp;"*",'V8'!B$300:B$400,0)),"  ")</f>
        <v>16</v>
      </c>
      <c r="AH36" s="353">
        <f>IFERROR(INDEX('V9'!C$300:C$400,MATCH("*"&amp;L36&amp;"*",'V9'!B$300:B$400,0)),"  ")</f>
        <v>18</v>
      </c>
      <c r="AI36" s="353" t="str">
        <f>IFERROR(INDEX('V10'!C$300:C$400,MATCH("*"&amp;L36&amp;"*",'V10'!B$300:B$400,0)),"  ")</f>
        <v xml:space="preserve">  </v>
      </c>
      <c r="AJ36" s="354">
        <f t="shared" si="17"/>
        <v>0</v>
      </c>
      <c r="AK36" s="354" t="str">
        <f t="shared" si="18"/>
        <v/>
      </c>
      <c r="AL36" s="355">
        <f t="shared" si="19"/>
        <v>30</v>
      </c>
      <c r="AM36" s="356" t="str">
        <f>IFERROR(INDEX(#REF!,MATCH("*"&amp;L36&amp;"*",#REF!,0)),"  ")</f>
        <v xml:space="preserve">  </v>
      </c>
      <c r="AN36" s="357">
        <f t="shared" si="20"/>
        <v>2</v>
      </c>
      <c r="AO36" s="358">
        <f t="shared" si="21"/>
        <v>1</v>
      </c>
      <c r="AP36" s="358">
        <f t="shared" si="22"/>
        <v>0</v>
      </c>
      <c r="AQ36" s="267"/>
      <c r="AR36" s="359"/>
      <c r="AS36" s="360"/>
      <c r="AT36" s="360"/>
      <c r="AU36" s="360"/>
      <c r="AV36" s="360"/>
      <c r="AW36" s="359">
        <f t="shared" si="23"/>
        <v>1E-4</v>
      </c>
      <c r="AX36" s="360">
        <f t="shared" si="24"/>
        <v>1E-4</v>
      </c>
      <c r="AY36" s="360">
        <f t="shared" si="25"/>
        <v>2.0000000000000001E-4</v>
      </c>
      <c r="AZ36" s="360">
        <f t="shared" si="26"/>
        <v>2.9999999999999997E-4</v>
      </c>
      <c r="BA36" s="360">
        <f t="shared" si="27"/>
        <v>4.0000000000000002E-4</v>
      </c>
      <c r="BB36" s="360">
        <f t="shared" si="28"/>
        <v>5.0000000000000001E-4</v>
      </c>
      <c r="BC36" s="360">
        <f t="shared" si="29"/>
        <v>5.9999999999999995E-4</v>
      </c>
      <c r="BD36" s="360">
        <f t="shared" si="30"/>
        <v>6.9999999999999999E-4</v>
      </c>
      <c r="BE36" s="360">
        <f t="shared" si="31"/>
        <v>16.000800000000002</v>
      </c>
      <c r="BF36" s="360">
        <f t="shared" si="32"/>
        <v>18.000900000000001</v>
      </c>
      <c r="BG36" s="360">
        <f t="shared" si="33"/>
        <v>1E-3</v>
      </c>
    </row>
    <row r="37" spans="1:59" x14ac:dyDescent="0.2">
      <c r="A37" s="337">
        <f t="shared" si="0"/>
        <v>23</v>
      </c>
      <c r="B37" s="338">
        <f t="shared" si="1"/>
        <v>31</v>
      </c>
      <c r="C37" s="339"/>
      <c r="D37" s="338">
        <f t="shared" si="3"/>
        <v>-969</v>
      </c>
      <c r="E37" s="340" t="str">
        <f t="shared" si="4"/>
        <v/>
      </c>
      <c r="F37" s="338">
        <f t="shared" si="5"/>
        <v>-969</v>
      </c>
      <c r="G37" s="341">
        <f t="shared" si="6"/>
        <v>6</v>
      </c>
      <c r="H37" s="338">
        <f t="shared" si="7"/>
        <v>31</v>
      </c>
      <c r="I37" s="342">
        <f t="shared" si="8"/>
        <v>4</v>
      </c>
      <c r="J37" s="343">
        <f t="shared" si="9"/>
        <v>31</v>
      </c>
      <c r="K37" s="302">
        <f t="shared" si="10"/>
        <v>31</v>
      </c>
      <c r="L37" s="361" t="s">
        <v>198</v>
      </c>
      <c r="M37" s="345" t="s">
        <v>119</v>
      </c>
      <c r="N37" s="346" t="str">
        <f t="shared" ref="N37:N42" si="35">IF(M37="","m","")</f>
        <v/>
      </c>
      <c r="O37" s="347" t="s">
        <v>125</v>
      </c>
      <c r="P37" s="348"/>
      <c r="Q37" s="349" t="s">
        <v>190</v>
      </c>
      <c r="R37" s="350">
        <f>(IF(COUNT(Z37,AA37,AB37,AC37,AD37,AE37,AF37,AG37,AH37,AI37)&lt;9,SUM(Z37,AA37,AB37,AC37,AD37,AE37,AF37,AG37,AH37,AI37),SUM(LARGE((Z37,AA37,AB37,AC37,AD37,AE37,AF37,AG37,AH37,AI37),{1;2;3;4;5;6;7;8;9}))))</f>
        <v>31</v>
      </c>
      <c r="S37" s="351" t="str">
        <f>INDEX(ETAPP!B$1:B$32,MATCH(COUNTIF(Z37:AI37,PVO!A$1),ETAPP!A$1:A$32,0))&amp;INDEX(ETAPP!B$1:B$32,MATCH(COUNTIF(Z37:AI37,PVO!A$2),ETAPP!A$1:A$32,0))&amp;INDEX(ETAPP!B$1:B$32,MATCH(COUNTIF(Z37:AI37,PVO!A$3),ETAPP!A$1:A$32,0))&amp;INDEX(ETAPP!B$1:B$32,MATCH(COUNTIF(Z37:AI37,PVO!A$4),ETAPP!A$1:A$32,0))&amp;INDEX(ETAPP!B$1:B$32,MATCH(COUNTIF(Z37:AI37,PVO!A$5),ETAPP!A$1:A$32,0))&amp;INDEX(ETAPP!B$1:B$32,MATCH(COUNTIF(Z37:AI37,PVO!A$6),ETAPP!A$1:A$32,0))&amp;INDEX(ETAPP!B$1:B$32,MATCH(COUNTIF(Z37:AI37,PVO!A$7),ETAPP!A$1:A$32,0))&amp;INDEX(ETAPP!B$1:B$32,MATCH(COUNTIF(Z37:AI37,PVO!A$8),ETAPP!A$1:A$32,0))&amp;INDEX(ETAPP!B$1:B$32,MATCH(COUNTIF(Z37:AI37,PVO!A$9),ETAPP!A$1:A$32,0))&amp;INDEX(ETAPP!B$1:B$32,MATCH(COUNTIF(Z37:AI37,PVO!A$10),ETAPP!A$1:A$32,0))&amp;INDEX(ETAPP!B$1:B$32,MATCH(COUNTIF(Z37:AI37,PVO!A$11),ETAPP!A$1:A$32,0))&amp;INDEX(ETAPP!B$1:B$32,MATCH(COUNTIF(Z37:AI37,PVO!A$12),ETAPP!A$1:A$32,0))&amp;INDEX(ETAPP!B$1:B$32,MATCH(COUNTIF(Z37:AI37,PVO!A$13),ETAPP!A$1:A$32,0))&amp;INDEX(ETAPP!B$1:B$32,MATCH(COUNTIF(Z37:AI37,PVO!A$14),ETAPP!A$1:A$32,0))&amp;INDEX(ETAPP!B$1:B$32,MATCH(COUNTIF(Z37:AI37,PVO!A$15),ETAPP!A$1:A$32,0))&amp;INDEX(ETAPP!B$1:B$32,MATCH(COUNTIF(Z37:AI37,PVO!A$16),ETAPP!A$1:A$32,0))&amp;INDEX(ETAPP!B$1:B$32,MATCH(COUNTIF(Z37:AI37,PVO!A$17),ETAPP!A$1:A$32,0))&amp;INDEX(ETAPP!B$1:B$32,MATCH(COUNTIF(Z37:AI37,PVO!A$18),ETAPP!A$1:A$32,0))&amp;INDEX(ETAPP!B$1:B$32,MATCH(COUNTIF(Z37:AI37,PVO!A$19),ETAPP!A$1:A$32,0))</f>
        <v>0A000000A0000000000</v>
      </c>
      <c r="T37" s="351" t="str">
        <f t="shared" si="11"/>
        <v>031,0-0A000000A0000000000</v>
      </c>
      <c r="U37" s="351">
        <f t="shared" si="12"/>
        <v>31</v>
      </c>
      <c r="V37" s="351">
        <f t="shared" si="13"/>
        <v>3</v>
      </c>
      <c r="W37" s="351" t="str">
        <f t="shared" si="14"/>
        <v>031,0-0A000000A0000000000-003</v>
      </c>
      <c r="X37" s="351">
        <f t="shared" si="15"/>
        <v>31</v>
      </c>
      <c r="Y37" s="352">
        <f t="shared" si="16"/>
        <v>22</v>
      </c>
      <c r="Z37" s="353" t="str">
        <f>IFERROR(INDEX('V1'!C$300:C$400,MATCH("*"&amp;L37&amp;"*",'V1'!B$300:B$400,0)),"  ")</f>
        <v xml:space="preserve">  </v>
      </c>
      <c r="AA37" s="353" t="str">
        <f>IFERROR(INDEX('V2'!C$300:C$395,MATCH("*"&amp;L37&amp;"*",'V2'!B$300:B$395,0)),"  ")</f>
        <v xml:space="preserve">  </v>
      </c>
      <c r="AB37" s="353" t="str">
        <f>IFERROR(INDEX('V3'!C$300:C$400,MATCH("*"&amp;L37&amp;"*",'V3'!B$300:B$400,0)),"  ")</f>
        <v xml:space="preserve">  </v>
      </c>
      <c r="AC37" s="353" t="str">
        <f>IFERROR(INDEX('V4'!C$300:C$400,MATCH("*"&amp;L37&amp;"*",'V4'!B$300:B$400,0)),"  ")</f>
        <v xml:space="preserve">  </v>
      </c>
      <c r="AD37" s="353" t="str">
        <f>IFERROR(INDEX('V5'!C$300:C$400,MATCH("*"&amp;L37&amp;"*",'V5'!B$300:B$400,0)),"  ")</f>
        <v xml:space="preserve">  </v>
      </c>
      <c r="AE37" s="353" t="str">
        <f>IFERROR(INDEX('V6'!C$300:C$400,MATCH("*"&amp;L37&amp;"*",'V6'!B$300:B$400,0)),"  ")</f>
        <v xml:space="preserve">  </v>
      </c>
      <c r="AF37" s="353">
        <f>IFERROR(INDEX('V7'!C$300:C$400,MATCH("*"&amp;L37&amp;"*",'V7'!B$300:B$400,0)),"  ")</f>
        <v>12</v>
      </c>
      <c r="AG37" s="353">
        <f>IFERROR(INDEX('V8'!C$300:C$400,MATCH("*"&amp;L37&amp;"*",'V8'!B$300:B$400,0)),"  ")</f>
        <v>19</v>
      </c>
      <c r="AH37" s="353" t="str">
        <f>IFERROR(INDEX('V9'!C$300:C$400,MATCH("*"&amp;L37&amp;"*",'V9'!B$300:B$400,0)),"  ")</f>
        <v xml:space="preserve">  </v>
      </c>
      <c r="AI37" s="353" t="str">
        <f>IFERROR(INDEX('V10'!C$300:C$400,MATCH("*"&amp;L37&amp;"*",'V10'!B$300:B$400,0)),"  ")</f>
        <v xml:space="preserve">  </v>
      </c>
      <c r="AJ37" s="354">
        <f t="shared" si="17"/>
        <v>0</v>
      </c>
      <c r="AK37" s="354" t="str">
        <f t="shared" si="18"/>
        <v/>
      </c>
      <c r="AL37" s="355">
        <f t="shared" si="19"/>
        <v>31</v>
      </c>
      <c r="AM37" s="356" t="str">
        <f>IFERROR(INDEX(#REF!,MATCH("*"&amp;L37&amp;"*",#REF!,0)),"  ")</f>
        <v xml:space="preserve">  </v>
      </c>
      <c r="AN37" s="357">
        <f t="shared" si="20"/>
        <v>2</v>
      </c>
      <c r="AO37" s="358">
        <f t="shared" si="21"/>
        <v>1</v>
      </c>
      <c r="AP37" s="358">
        <f t="shared" si="22"/>
        <v>0</v>
      </c>
      <c r="AQ37" s="267"/>
      <c r="AR37" s="359"/>
      <c r="AS37" s="360"/>
      <c r="AT37" s="360"/>
      <c r="AU37" s="360"/>
      <c r="AV37" s="360"/>
      <c r="AW37" s="359">
        <f t="shared" si="23"/>
        <v>1E-4</v>
      </c>
      <c r="AX37" s="360">
        <f t="shared" si="24"/>
        <v>1E-4</v>
      </c>
      <c r="AY37" s="360">
        <f t="shared" si="25"/>
        <v>2.0000000000000001E-4</v>
      </c>
      <c r="AZ37" s="360">
        <f t="shared" si="26"/>
        <v>2.9999999999999997E-4</v>
      </c>
      <c r="BA37" s="360">
        <f t="shared" si="27"/>
        <v>4.0000000000000002E-4</v>
      </c>
      <c r="BB37" s="360">
        <f t="shared" si="28"/>
        <v>5.0000000000000001E-4</v>
      </c>
      <c r="BC37" s="360">
        <f t="shared" si="29"/>
        <v>5.9999999999999995E-4</v>
      </c>
      <c r="BD37" s="360">
        <f t="shared" si="30"/>
        <v>12.0007</v>
      </c>
      <c r="BE37" s="360">
        <f t="shared" si="31"/>
        <v>19.000800000000002</v>
      </c>
      <c r="BF37" s="360">
        <f t="shared" si="32"/>
        <v>8.9999999999999998E-4</v>
      </c>
      <c r="BG37" s="360">
        <f t="shared" si="33"/>
        <v>1E-3</v>
      </c>
    </row>
    <row r="38" spans="1:59" x14ac:dyDescent="0.2">
      <c r="A38" s="337">
        <f t="shared" si="0"/>
        <v>24</v>
      </c>
      <c r="B38" s="338">
        <f t="shared" si="1"/>
        <v>32</v>
      </c>
      <c r="C38" s="339">
        <f t="shared" ref="C38:C58" si="36">IF(R38&gt;0,IF(P38="k",RANK(D38,D$7:D$58,1)-COUNTBLANK(P$7:P$58),""),"")</f>
        <v>11</v>
      </c>
      <c r="D38" s="338">
        <f t="shared" si="3"/>
        <v>32</v>
      </c>
      <c r="E38" s="340">
        <f t="shared" si="4"/>
        <v>26</v>
      </c>
      <c r="F38" s="338">
        <f t="shared" si="5"/>
        <v>32</v>
      </c>
      <c r="G38" s="341" t="str">
        <f t="shared" si="6"/>
        <v/>
      </c>
      <c r="H38" s="338">
        <f t="shared" si="7"/>
        <v>-968</v>
      </c>
      <c r="I38" s="342" t="str">
        <f t="shared" si="8"/>
        <v/>
      </c>
      <c r="J38" s="343">
        <f t="shared" si="9"/>
        <v>-968</v>
      </c>
      <c r="K38" s="302">
        <f t="shared" si="10"/>
        <v>32</v>
      </c>
      <c r="L38" s="362" t="s">
        <v>194</v>
      </c>
      <c r="M38" s="345"/>
      <c r="N38" s="346" t="str">
        <f t="shared" si="35"/>
        <v>m</v>
      </c>
      <c r="O38" s="347"/>
      <c r="P38" s="348" t="s">
        <v>191</v>
      </c>
      <c r="Q38" s="349" t="s">
        <v>190</v>
      </c>
      <c r="R38" s="350">
        <f>(IF(COUNT(Z38,AA38,AB38,AC38,AD38,AE38,AF38,AG38,AH38,AI38)&lt;9,SUM(Z38,AA38,AB38,AC38,AD38,AE38,AF38,AG38,AH38,AI38),SUM(LARGE((Z38,AA38,AB38,AC38,AD38,AE38,AF38,AG38,AH38,AI38),{1;2;3;4;5;6;7;8;9}))))</f>
        <v>25</v>
      </c>
      <c r="S38" s="351" t="str">
        <f>INDEX(ETAPP!B$1:B$32,MATCH(COUNTIF(Z38:AI38,PVO!A$1),ETAPP!A$1:A$32,0))&amp;INDEX(ETAPP!B$1:B$32,MATCH(COUNTIF(Z38:AI38,PVO!A$2),ETAPP!A$1:A$32,0))&amp;INDEX(ETAPP!B$1:B$32,MATCH(COUNTIF(Z38:AI38,PVO!A$3),ETAPP!A$1:A$32,0))&amp;INDEX(ETAPP!B$1:B$32,MATCH(COUNTIF(Z38:AI38,PVO!A$4),ETAPP!A$1:A$32,0))&amp;INDEX(ETAPP!B$1:B$32,MATCH(COUNTIF(Z38:AI38,PVO!A$5),ETAPP!A$1:A$32,0))&amp;INDEX(ETAPP!B$1:B$32,MATCH(COUNTIF(Z38:AI38,PVO!A$6),ETAPP!A$1:A$32,0))&amp;INDEX(ETAPP!B$1:B$32,MATCH(COUNTIF(Z38:AI38,PVO!A$7),ETAPP!A$1:A$32,0))&amp;INDEX(ETAPP!B$1:B$32,MATCH(COUNTIF(Z38:AI38,PVO!A$8),ETAPP!A$1:A$32,0))&amp;INDEX(ETAPP!B$1:B$32,MATCH(COUNTIF(Z38:AI38,PVO!A$9),ETAPP!A$1:A$32,0))&amp;INDEX(ETAPP!B$1:B$32,MATCH(COUNTIF(Z38:AI38,PVO!A$10),ETAPP!A$1:A$32,0))&amp;INDEX(ETAPP!B$1:B$32,MATCH(COUNTIF(Z38:AI38,PVO!A$11),ETAPP!A$1:A$32,0))&amp;INDEX(ETAPP!B$1:B$32,MATCH(COUNTIF(Z38:AI38,PVO!A$12),ETAPP!A$1:A$32,0))&amp;INDEX(ETAPP!B$1:B$32,MATCH(COUNTIF(Z38:AI38,PVO!A$13),ETAPP!A$1:A$32,0))&amp;INDEX(ETAPP!B$1:B$32,MATCH(COUNTIF(Z38:AI38,PVO!A$14),ETAPP!A$1:A$32,0))&amp;INDEX(ETAPP!B$1:B$32,MATCH(COUNTIF(Z38:AI38,PVO!A$15),ETAPP!A$1:A$32,0))&amp;INDEX(ETAPP!B$1:B$32,MATCH(COUNTIF(Z38:AI38,PVO!A$16),ETAPP!A$1:A$32,0))&amp;INDEX(ETAPP!B$1:B$32,MATCH(COUNTIF(Z38:AI38,PVO!A$17),ETAPP!A$1:A$32,0))&amp;INDEX(ETAPP!B$1:B$32,MATCH(COUNTIF(Z38:AI38,PVO!A$18),ETAPP!A$1:A$32,0))&amp;INDEX(ETAPP!B$1:B$32,MATCH(COUNTIF(Z38:AI38,PVO!A$19),ETAPP!A$1:A$32,0))</f>
        <v>0000A000000A0000000</v>
      </c>
      <c r="T38" s="351" t="str">
        <f t="shared" si="11"/>
        <v>025,0-0000A000000A0000000</v>
      </c>
      <c r="U38" s="351">
        <f t="shared" si="12"/>
        <v>32</v>
      </c>
      <c r="V38" s="351">
        <f t="shared" si="13"/>
        <v>50</v>
      </c>
      <c r="W38" s="351" t="str">
        <f t="shared" si="14"/>
        <v>025,0-0000A000000A0000000-050</v>
      </c>
      <c r="X38" s="351">
        <f t="shared" si="15"/>
        <v>32</v>
      </c>
      <c r="Y38" s="352">
        <f t="shared" si="16"/>
        <v>21</v>
      </c>
      <c r="Z38" s="353" t="str">
        <f>IFERROR(INDEX('V1'!C$300:C$400,MATCH("*"&amp;L38&amp;"*",'V1'!B$300:B$400,0)),"  ")</f>
        <v xml:space="preserve">  </v>
      </c>
      <c r="AA38" s="353" t="str">
        <f>IFERROR(INDEX('V2'!C$300:C$395,MATCH("*"&amp;L38&amp;"*",'V2'!B$300:B$395,0)),"  ")</f>
        <v xml:space="preserve">  </v>
      </c>
      <c r="AB38" s="353" t="str">
        <f>IFERROR(INDEX('V3'!C$300:C$400,MATCH("*"&amp;L38&amp;"*",'V3'!B$300:B$400,0)),"  ")</f>
        <v xml:space="preserve">  </v>
      </c>
      <c r="AC38" s="353" t="str">
        <f>IFERROR(INDEX('V4'!C$300:C$400,MATCH("*"&amp;L38&amp;"*",'V4'!B$300:B$400,0)),"  ")</f>
        <v xml:space="preserve">  </v>
      </c>
      <c r="AD38" s="353" t="str">
        <f>IFERROR(INDEX('V5'!C$300:C$400,MATCH("*"&amp;L38&amp;"*",'V5'!B$300:B$400,0)),"  ")</f>
        <v xml:space="preserve">  </v>
      </c>
      <c r="AE38" s="353" t="str">
        <f>IFERROR(INDEX('V6'!C$300:C$400,MATCH("*"&amp;L38&amp;"*",'V6'!B$300:B$400,0)),"  ")</f>
        <v xml:space="preserve">  </v>
      </c>
      <c r="AF38" s="353" t="str">
        <f>IFERROR(INDEX('V7'!C$300:C$400,MATCH("*"&amp;L38&amp;"*",'V7'!B$300:B$400,0)),"  ")</f>
        <v xml:space="preserve">  </v>
      </c>
      <c r="AG38" s="353">
        <f>IFERROR(INDEX('V8'!C$300:C$400,MATCH("*"&amp;L38&amp;"*",'V8'!B$300:B$400,0)),"  ")</f>
        <v>16</v>
      </c>
      <c r="AH38" s="353">
        <f>IFERROR(INDEX('V9'!C$300:C$400,MATCH("*"&amp;L38&amp;"*",'V9'!B$300:B$400,0)),"  ")</f>
        <v>9</v>
      </c>
      <c r="AI38" s="353" t="str">
        <f>IFERROR(INDEX('V10'!C$300:C$400,MATCH("*"&amp;L38&amp;"*",'V10'!B$300:B$400,0)),"  ")</f>
        <v xml:space="preserve">  </v>
      </c>
      <c r="AJ38" s="354">
        <f t="shared" si="17"/>
        <v>0</v>
      </c>
      <c r="AK38" s="354" t="str">
        <f t="shared" si="18"/>
        <v/>
      </c>
      <c r="AL38" s="355">
        <f t="shared" si="19"/>
        <v>32</v>
      </c>
      <c r="AM38" s="356" t="str">
        <f>IFERROR(INDEX(#REF!,MATCH("*"&amp;L38&amp;"*",#REF!,0)),"  ")</f>
        <v xml:space="preserve">  </v>
      </c>
      <c r="AN38" s="357">
        <f t="shared" si="20"/>
        <v>2</v>
      </c>
      <c r="AO38" s="358">
        <f t="shared" si="21"/>
        <v>0</v>
      </c>
      <c r="AP38" s="358">
        <f t="shared" si="22"/>
        <v>0</v>
      </c>
      <c r="AQ38" s="267"/>
      <c r="AR38" s="359"/>
      <c r="AS38" s="360"/>
      <c r="AT38" s="360"/>
      <c r="AU38" s="360"/>
      <c r="AV38" s="360"/>
      <c r="AW38" s="359">
        <f t="shared" si="23"/>
        <v>1E-4</v>
      </c>
      <c r="AX38" s="360">
        <f t="shared" si="24"/>
        <v>1E-4</v>
      </c>
      <c r="AY38" s="360">
        <f t="shared" si="25"/>
        <v>2.0000000000000001E-4</v>
      </c>
      <c r="AZ38" s="360">
        <f t="shared" si="26"/>
        <v>2.9999999999999997E-4</v>
      </c>
      <c r="BA38" s="360">
        <f t="shared" si="27"/>
        <v>4.0000000000000002E-4</v>
      </c>
      <c r="BB38" s="360">
        <f t="shared" si="28"/>
        <v>5.0000000000000001E-4</v>
      </c>
      <c r="BC38" s="360">
        <f t="shared" si="29"/>
        <v>5.9999999999999995E-4</v>
      </c>
      <c r="BD38" s="360">
        <f t="shared" si="30"/>
        <v>6.9999999999999999E-4</v>
      </c>
      <c r="BE38" s="360">
        <f t="shared" si="31"/>
        <v>16.000800000000002</v>
      </c>
      <c r="BF38" s="360">
        <f t="shared" si="32"/>
        <v>9.0008999999999997</v>
      </c>
      <c r="BG38" s="360">
        <f t="shared" si="33"/>
        <v>1E-3</v>
      </c>
    </row>
    <row r="39" spans="1:59" x14ac:dyDescent="0.2">
      <c r="A39" s="337" t="str">
        <f t="shared" ref="A39:A70" si="37">IF(R39&gt;0,IF(Q39="v",RANK(B39,B$7:B$58,1)-COUNTBLANK(Q$7:Q$58),""),"")</f>
        <v/>
      </c>
      <c r="B39" s="338">
        <f t="shared" ref="B39:B58" si="38">IF((Q39="v"),U39,U39-1000)</f>
        <v>-966</v>
      </c>
      <c r="C39" s="339" t="str">
        <f t="shared" si="36"/>
        <v/>
      </c>
      <c r="D39" s="338">
        <f t="shared" ref="D39:D58" si="39">IF((P39="k"),U39,U39-1000)</f>
        <v>-966</v>
      </c>
      <c r="E39" s="340">
        <f t="shared" ref="E39:E70" si="40">IF(R39&gt;0,IF(N39="m",RANK(F39,F$7:F$58,1)-COUNTBLANK(N$7:N$58),""),"")</f>
        <v>27</v>
      </c>
      <c r="F39" s="338">
        <f t="shared" ref="F39:F58" si="41">IF((N39="m"),U39,U39-1000)</f>
        <v>34</v>
      </c>
      <c r="G39" s="341" t="str">
        <f t="shared" ref="G39:G70" si="42">IF(R39&gt;0,IF(M39="n",RANK(H39,H$7:H$58,1)-COUNTBLANK(M$7:M$58),""),"")</f>
        <v/>
      </c>
      <c r="H39" s="338">
        <f t="shared" ref="H39:H58" si="43">IF((M39="n"),U39,U39-1000)</f>
        <v>-966</v>
      </c>
      <c r="I39" s="342" t="str">
        <f t="shared" ref="I39:I70" si="44">IF(R39&gt;0,IF(O39="j",RANK(J39,J$7:J$58,1)-COUNTBLANK(O$7:O$58),""),"")</f>
        <v/>
      </c>
      <c r="J39" s="343">
        <f t="shared" ref="J39:J58" si="45">IF((O39="j"),U39,U39-1000)</f>
        <v>-966</v>
      </c>
      <c r="K39" s="302">
        <f t="shared" ref="K39:K58" si="46">IF(R39&gt;0,RANK(U39,U$7:U$58,1),"")</f>
        <v>33</v>
      </c>
      <c r="L39" s="363" t="s">
        <v>115</v>
      </c>
      <c r="M39" s="345"/>
      <c r="N39" s="346" t="str">
        <f t="shared" si="35"/>
        <v>m</v>
      </c>
      <c r="O39" s="347"/>
      <c r="P39" s="348"/>
      <c r="Q39" s="349"/>
      <c r="R39" s="350">
        <f>(IF(COUNT(Z39,AA39,AB39,AC39,AD39,AE39,AF39,AG39,AH39,AI39)&lt;9,SUM(Z39,AA39,AB39,AC39,AD39,AE39,AF39,AG39,AH39,AI39),SUM(LARGE((Z39,AA39,AB39,AC39,AD39,AE39,AF39,AG39,AH39,AI39),{1;2;3;4;5;6;7;8;9}))))</f>
        <v>20</v>
      </c>
      <c r="S39" s="351" t="str">
        <f>INDEX(ETAPP!B$1:B$32,MATCH(COUNTIF(Z39:AI39,PVO!A$1),ETAPP!A$1:A$32,0))&amp;INDEX(ETAPP!B$1:B$32,MATCH(COUNTIF(Z39:AI39,PVO!A$2),ETAPP!A$1:A$32,0))&amp;INDEX(ETAPP!B$1:B$32,MATCH(COUNTIF(Z39:AI39,PVO!A$3),ETAPP!A$1:A$32,0))&amp;INDEX(ETAPP!B$1:B$32,MATCH(COUNTIF(Z39:AI39,PVO!A$4),ETAPP!A$1:A$32,0))&amp;INDEX(ETAPP!B$1:B$32,MATCH(COUNTIF(Z39:AI39,PVO!A$5),ETAPP!A$1:A$32,0))&amp;INDEX(ETAPP!B$1:B$32,MATCH(COUNTIF(Z39:AI39,PVO!A$6),ETAPP!A$1:A$32,0))&amp;INDEX(ETAPP!B$1:B$32,MATCH(COUNTIF(Z39:AI39,PVO!A$7),ETAPP!A$1:A$32,0))&amp;INDEX(ETAPP!B$1:B$32,MATCH(COUNTIF(Z39:AI39,PVO!A$8),ETAPP!A$1:A$32,0))&amp;INDEX(ETAPP!B$1:B$32,MATCH(COUNTIF(Z39:AI39,PVO!A$9),ETAPP!A$1:A$32,0))&amp;INDEX(ETAPP!B$1:B$32,MATCH(COUNTIF(Z39:AI39,PVO!A$10),ETAPP!A$1:A$32,0))&amp;INDEX(ETAPP!B$1:B$32,MATCH(COUNTIF(Z39:AI39,PVO!A$11),ETAPP!A$1:A$32,0))&amp;INDEX(ETAPP!B$1:B$32,MATCH(COUNTIF(Z39:AI39,PVO!A$12),ETAPP!A$1:A$32,0))&amp;INDEX(ETAPP!B$1:B$32,MATCH(COUNTIF(Z39:AI39,PVO!A$13),ETAPP!A$1:A$32,0))&amp;INDEX(ETAPP!B$1:B$32,MATCH(COUNTIF(Z39:AI39,PVO!A$14),ETAPP!A$1:A$32,0))&amp;INDEX(ETAPP!B$1:B$32,MATCH(COUNTIF(Z39:AI39,PVO!A$15),ETAPP!A$1:A$32,0))&amp;INDEX(ETAPP!B$1:B$32,MATCH(COUNTIF(Z39:AI39,PVO!A$16),ETAPP!A$1:A$32,0))&amp;INDEX(ETAPP!B$1:B$32,MATCH(COUNTIF(Z39:AI39,PVO!A$17),ETAPP!A$1:A$32,0))&amp;INDEX(ETAPP!B$1:B$32,MATCH(COUNTIF(Z39:AI39,PVO!A$18),ETAPP!A$1:A$32,0))&amp;INDEX(ETAPP!B$1:B$32,MATCH(COUNTIF(Z39:AI39,PVO!A$19),ETAPP!A$1:A$32,0))</f>
        <v>A000000000000000000</v>
      </c>
      <c r="T39" s="351" t="str">
        <f t="shared" ref="T39:T58" si="47">TEXT(R39,"000,0")&amp;"-"&amp;S39</f>
        <v>020,0-A000000000000000000</v>
      </c>
      <c r="U39" s="351">
        <f t="shared" ref="U39:U70" si="48">COUNTIF(T$7:T$58,"&gt;="&amp;T39)</f>
        <v>34</v>
      </c>
      <c r="V39" s="351">
        <f t="shared" ref="V39:V58" si="49">COUNTIF(L$7:L$58,"&gt;="&amp;L39)</f>
        <v>52</v>
      </c>
      <c r="W39" s="351" t="str">
        <f t="shared" ref="W39:W58" si="50">TEXT(R39,"000,0")&amp;"-"&amp;S39&amp;"-"&amp;TEXT(V39,"000")</f>
        <v>020,0-A000000000000000000-052</v>
      </c>
      <c r="X39" s="351">
        <f t="shared" ref="X39:X70" si="51">COUNTIF(W$7:W$58,"&gt;="&amp;W39)</f>
        <v>33</v>
      </c>
      <c r="Y39" s="352">
        <f t="shared" ref="Y39:Y70" si="52">RANK(X39,X$7:X$58,0)</f>
        <v>20</v>
      </c>
      <c r="Z39" s="353">
        <f>IFERROR(INDEX('V1'!C$300:C$400,MATCH("*"&amp;L39&amp;"*",'V1'!B$300:B$400,0)),"  ")</f>
        <v>20</v>
      </c>
      <c r="AA39" s="353" t="str">
        <f>IFERROR(INDEX('V2'!C$300:C$395,MATCH("*"&amp;L39&amp;"*",'V2'!B$300:B$395,0)),"  ")</f>
        <v xml:space="preserve">  </v>
      </c>
      <c r="AB39" s="353" t="str">
        <f>IFERROR(INDEX('V3'!C$300:C$400,MATCH("*"&amp;L39&amp;"*",'V3'!B$300:B$400,0)),"  ")</f>
        <v xml:space="preserve">  </v>
      </c>
      <c r="AC39" s="353" t="str">
        <f>IFERROR(INDEX('V4'!C$300:C$400,MATCH("*"&amp;L39&amp;"*",'V4'!B$300:B$400,0)),"  ")</f>
        <v xml:space="preserve">  </v>
      </c>
      <c r="AD39" s="353" t="str">
        <f>IFERROR(INDEX('V5'!C$300:C$400,MATCH("*"&amp;L39&amp;"*",'V5'!B$300:B$400,0)),"  ")</f>
        <v xml:space="preserve">  </v>
      </c>
      <c r="AE39" s="353" t="str">
        <f>IFERROR(INDEX('V6'!C$300:C$400,MATCH("*"&amp;L39&amp;"*",'V6'!B$300:B$400,0)),"  ")</f>
        <v xml:space="preserve">  </v>
      </c>
      <c r="AF39" s="353" t="str">
        <f>IFERROR(INDEX('V7'!C$300:C$400,MATCH("*"&amp;L39&amp;"*",'V7'!B$300:B$400,0)),"  ")</f>
        <v xml:space="preserve">  </v>
      </c>
      <c r="AG39" s="353" t="str">
        <f>IFERROR(INDEX('V8'!C$300:C$400,MATCH("*"&amp;L39&amp;"*",'V8'!B$300:B$400,0)),"  ")</f>
        <v xml:space="preserve">  </v>
      </c>
      <c r="AH39" s="353" t="str">
        <f>IFERROR(INDEX('V9'!C$300:C$400,MATCH("*"&amp;L39&amp;"*",'V9'!B$300:B$400,0)),"  ")</f>
        <v xml:space="preserve">  </v>
      </c>
      <c r="AI39" s="353" t="str">
        <f>IFERROR(INDEX('V10'!C$300:C$400,MATCH("*"&amp;L39&amp;"*",'V10'!B$300:B$400,0)),"  ")</f>
        <v xml:space="preserve">  </v>
      </c>
      <c r="AJ39" s="354">
        <f t="shared" ref="AJ39:AJ58" si="53">IF(COUNTIF(Z39:AI39,"&gt;0")&gt;=3,1,0)</f>
        <v>0</v>
      </c>
      <c r="AK39" s="354" t="str">
        <f t="shared" ref="AK39:AK58" si="54">IF(AJ39=1,Y39,"")</f>
        <v/>
      </c>
      <c r="AL39" s="355">
        <f t="shared" ref="AL39:AL70" si="55">IFERROR("edasi "&amp;RANK(AK39,AK$7:AK$58,0),K39)</f>
        <v>33</v>
      </c>
      <c r="AM39" s="356" t="str">
        <f>IFERROR(INDEX(#REF!,MATCH("*"&amp;L39&amp;"*",#REF!,0)),"  ")</f>
        <v xml:space="preserve">  </v>
      </c>
      <c r="AN39" s="357">
        <f t="shared" ref="AN39:AN58" si="56">COUNTIF(Z39:AI39,"&gt;=0")</f>
        <v>1</v>
      </c>
      <c r="AO39" s="358">
        <f t="shared" ref="AO39:AO58" si="57">IFERROR(IF(Z39+1&gt;LARGE(Z$7:Z$58,1)-2,1),0)+IFERROR(IF(AA39+1&gt;LARGE(AA$7:AA$58,1)-2,1),0)+IFERROR(IF(AB39+1&gt;LARGE(AB$7:AB$58,1)-2,1),0)+IFERROR(IF(AC39+1&gt;LARGE(AC$7:AC$58,1)-2,1),0)+IFERROR(IF(AD39+1&gt;LARGE(AD$7:AD$58,1)-2,1),0)+IFERROR(IF(AE39+1&gt;LARGE(AE$7:AE$58,1)-2,1),0)+IFERROR(IF(AF39+1&gt;LARGE(AF$7:AF$58,1)-2,1),0)+IFERROR(IF(AG39+1&gt;LARGE(AG$7:AG$58,1)-2,1),0)+IFERROR(IF(AH39+1&gt;LARGE(AH$7:AH$58,1)-2,1),0)+IFERROR(IF(AI39+1&gt;LARGE(AI$7:AI$58,1)-2,1),0)</f>
        <v>1</v>
      </c>
      <c r="AP39" s="358">
        <f t="shared" ref="AP39:AP58" si="58">IF(Z39=0,0,IF(Z39=IFERROR(LARGE(Z$7:Z$58,1),0),1,0))+IF(AA39=0,0,IF(AA39=IFERROR(LARGE(AA$7:AA$58,1),0),1,0))+IF(AB39=0,0,IF(AB39=IFERROR(LARGE(AB$7:AB$58,1),0),1,0))+IF(AC39=0,0,IF(AC39=IFERROR(LARGE(AC$7:AC$58,1),0),1,0))+IF(AD39=0,0,IF(AD39=IFERROR(LARGE(AD$7:AD$58,1),0),1,0))+IF(AE39=0,0,IF(AE39=IFERROR(LARGE(AE$7:AE$58,1),0),1,0))+IF(AF39=0,0,IF(AF39=IFERROR(LARGE(AF$7:AF$58,1),0),1,0))+IF(AG39=0,0,IF(AG39=IFERROR(LARGE(AG$7:AG$58,1),0),1,0))+IF(AH39=0,0,IF(AH39=IFERROR(LARGE(AH$7:AH$58,1),0),1,0))+IF(AI39=0,0,IF(AI39=IFERROR(LARGE(AI$7:AI$58,1),0),1,0))</f>
        <v>1</v>
      </c>
      <c r="AQ39" s="267"/>
      <c r="AW39" s="359">
        <f t="shared" ref="AW39:AW58" si="59">SMALL(AX39:BG39,AW$3)</f>
        <v>2.0000000000000001E-4</v>
      </c>
      <c r="AX39" s="360">
        <f t="shared" ref="AX39:AX58" si="60">IF(Z39="  ",0+MID(Z$6,FIND("V",Z$6)+1,256)/10000,Z39+MID(Z$6,FIND("V",Z$6)+1,256)/10000)</f>
        <v>20.0001</v>
      </c>
      <c r="AY39" s="360">
        <f t="shared" ref="AY39:AY58" si="61">IF(AA39="  ",0+MID(AA$6,FIND("V",AA$6)+1,256)/10000,AA39+MID(AA$6,FIND("V",AA$6)+1,256)/10000)</f>
        <v>2.0000000000000001E-4</v>
      </c>
      <c r="AZ39" s="360">
        <f t="shared" ref="AZ39:AZ58" si="62">IF(AB39="  ",0+MID(AB$6,FIND("V",AB$6)+1,256)/10000,AB39+MID(AB$6,FIND("V",AB$6)+1,256)/10000)</f>
        <v>2.9999999999999997E-4</v>
      </c>
      <c r="BA39" s="360">
        <f t="shared" ref="BA39:BA58" si="63">IF(AC39="  ",0+MID(AC$6,FIND("V",AC$6)+1,256)/10000,AC39+MID(AC$6,FIND("V",AC$6)+1,256)/10000)</f>
        <v>4.0000000000000002E-4</v>
      </c>
      <c r="BB39" s="360">
        <f t="shared" ref="BB39:BB58" si="64">IF(AD39="  ",0+MID(AD$6,FIND("V",AD$6)+1,256)/10000,AD39+MID(AD$6,FIND("V",AD$6)+1,256)/10000)</f>
        <v>5.0000000000000001E-4</v>
      </c>
      <c r="BC39" s="360">
        <f t="shared" ref="BC39:BC58" si="65">IF(AE39="  ",0+MID(AE$6,FIND("V",AE$6)+1,256)/10000,AE39+MID(AE$6,FIND("V",AE$6)+1,256)/10000)</f>
        <v>5.9999999999999995E-4</v>
      </c>
      <c r="BD39" s="360">
        <f t="shared" ref="BD39:BD58" si="66">IF(AF39="  ",0+MID(AF$6,FIND("V",AF$6)+1,256)/10000,AF39+MID(AF$6,FIND("V",AF$6)+1,256)/10000)</f>
        <v>6.9999999999999999E-4</v>
      </c>
      <c r="BE39" s="360">
        <f t="shared" ref="BE39:BE58" si="67">IF(AG39="  ",0+MID(AG$6,FIND("V",AG$6)+1,256)/10000,AG39+MID(AG$6,FIND("V",AG$6)+1,256)/10000)</f>
        <v>8.0000000000000004E-4</v>
      </c>
      <c r="BF39" s="360">
        <f t="shared" ref="BF39:BF58" si="68">IF(AH39="  ",0+MID(AH$6,FIND("V",AH$6)+1,256)/10000,AH39+MID(AH$6,FIND("V",AH$6)+1,256)/10000)</f>
        <v>8.9999999999999998E-4</v>
      </c>
      <c r="BG39" s="360">
        <f t="shared" ref="BG39:BG58" si="69">IF(AI39="  ",0+MID(AI$6,FIND("V",AI$6)+1,256)/10000,AI39+MID(AI$6,FIND("V",AI$6)+1,256)/10000)</f>
        <v>1E-3</v>
      </c>
    </row>
    <row r="40" spans="1:59" x14ac:dyDescent="0.2">
      <c r="A40" s="337" t="str">
        <f t="shared" si="37"/>
        <v/>
      </c>
      <c r="B40" s="338">
        <f t="shared" si="38"/>
        <v>-966</v>
      </c>
      <c r="C40" s="339" t="str">
        <f t="shared" si="36"/>
        <v/>
      </c>
      <c r="D40" s="338">
        <f t="shared" si="39"/>
        <v>-966</v>
      </c>
      <c r="E40" s="340">
        <f t="shared" si="40"/>
        <v>27</v>
      </c>
      <c r="F40" s="338">
        <f t="shared" si="41"/>
        <v>34</v>
      </c>
      <c r="G40" s="341" t="str">
        <f t="shared" si="42"/>
        <v/>
      </c>
      <c r="H40" s="338">
        <f t="shared" si="43"/>
        <v>-966</v>
      </c>
      <c r="I40" s="342" t="str">
        <f t="shared" si="44"/>
        <v/>
      </c>
      <c r="J40" s="343">
        <f t="shared" si="45"/>
        <v>-966</v>
      </c>
      <c r="K40" s="302">
        <f t="shared" si="46"/>
        <v>33</v>
      </c>
      <c r="L40" s="344" t="s">
        <v>114</v>
      </c>
      <c r="M40" s="345"/>
      <c r="N40" s="346" t="str">
        <f t="shared" si="35"/>
        <v>m</v>
      </c>
      <c r="O40" s="347"/>
      <c r="P40" s="348"/>
      <c r="Q40" s="349"/>
      <c r="R40" s="350">
        <f>(IF(COUNT(Z40,AA40,AB40,AC40,AD40,AE40,AF40,AG40,AH40,AI40)&lt;9,SUM(Z40,AA40,AB40,AC40,AD40,AE40,AF40,AG40,AH40,AI40),SUM(LARGE((Z40,AA40,AB40,AC40,AD40,AE40,AF40,AG40,AH40,AI40),{1;2;3;4;5;6;7;8;9}))))</f>
        <v>20</v>
      </c>
      <c r="S40" s="351" t="str">
        <f>INDEX(ETAPP!B$1:B$32,MATCH(COUNTIF(Z40:AI40,PVO!A$1),ETAPP!A$1:A$32,0))&amp;INDEX(ETAPP!B$1:B$32,MATCH(COUNTIF(Z40:AI40,PVO!A$2),ETAPP!A$1:A$32,0))&amp;INDEX(ETAPP!B$1:B$32,MATCH(COUNTIF(Z40:AI40,PVO!A$3),ETAPP!A$1:A$32,0))&amp;INDEX(ETAPP!B$1:B$32,MATCH(COUNTIF(Z40:AI40,PVO!A$4),ETAPP!A$1:A$32,0))&amp;INDEX(ETAPP!B$1:B$32,MATCH(COUNTIF(Z40:AI40,PVO!A$5),ETAPP!A$1:A$32,0))&amp;INDEX(ETAPP!B$1:B$32,MATCH(COUNTIF(Z40:AI40,PVO!A$6),ETAPP!A$1:A$32,0))&amp;INDEX(ETAPP!B$1:B$32,MATCH(COUNTIF(Z40:AI40,PVO!A$7),ETAPP!A$1:A$32,0))&amp;INDEX(ETAPP!B$1:B$32,MATCH(COUNTIF(Z40:AI40,PVO!A$8),ETAPP!A$1:A$32,0))&amp;INDEX(ETAPP!B$1:B$32,MATCH(COUNTIF(Z40:AI40,PVO!A$9),ETAPP!A$1:A$32,0))&amp;INDEX(ETAPP!B$1:B$32,MATCH(COUNTIF(Z40:AI40,PVO!A$10),ETAPP!A$1:A$32,0))&amp;INDEX(ETAPP!B$1:B$32,MATCH(COUNTIF(Z40:AI40,PVO!A$11),ETAPP!A$1:A$32,0))&amp;INDEX(ETAPP!B$1:B$32,MATCH(COUNTIF(Z40:AI40,PVO!A$12),ETAPP!A$1:A$32,0))&amp;INDEX(ETAPP!B$1:B$32,MATCH(COUNTIF(Z40:AI40,PVO!A$13),ETAPP!A$1:A$32,0))&amp;INDEX(ETAPP!B$1:B$32,MATCH(COUNTIF(Z40:AI40,PVO!A$14),ETAPP!A$1:A$32,0))&amp;INDEX(ETAPP!B$1:B$32,MATCH(COUNTIF(Z40:AI40,PVO!A$15),ETAPP!A$1:A$32,0))&amp;INDEX(ETAPP!B$1:B$32,MATCH(COUNTIF(Z40:AI40,PVO!A$16),ETAPP!A$1:A$32,0))&amp;INDEX(ETAPP!B$1:B$32,MATCH(COUNTIF(Z40:AI40,PVO!A$17),ETAPP!A$1:A$32,0))&amp;INDEX(ETAPP!B$1:B$32,MATCH(COUNTIF(Z40:AI40,PVO!A$18),ETAPP!A$1:A$32,0))&amp;INDEX(ETAPP!B$1:B$32,MATCH(COUNTIF(Z40:AI40,PVO!A$19),ETAPP!A$1:A$32,0))</f>
        <v>A000000000000000000</v>
      </c>
      <c r="T40" s="351" t="str">
        <f t="shared" si="47"/>
        <v>020,0-A000000000000000000</v>
      </c>
      <c r="U40" s="351">
        <f t="shared" si="48"/>
        <v>34</v>
      </c>
      <c r="V40" s="351">
        <f t="shared" si="49"/>
        <v>38</v>
      </c>
      <c r="W40" s="351" t="str">
        <f t="shared" si="50"/>
        <v>020,0-A000000000000000000-038</v>
      </c>
      <c r="X40" s="351">
        <f t="shared" si="51"/>
        <v>34</v>
      </c>
      <c r="Y40" s="352">
        <f t="shared" si="52"/>
        <v>19</v>
      </c>
      <c r="Z40" s="353">
        <f>IFERROR(INDEX('V1'!C$300:C$400,MATCH("*"&amp;L40&amp;"*",'V1'!B$300:B$400,0)),"  ")</f>
        <v>20</v>
      </c>
      <c r="AA40" s="353" t="str">
        <f>IFERROR(INDEX('V2'!C$300:C$395,MATCH("*"&amp;L40&amp;"*",'V2'!B$300:B$395,0)),"  ")</f>
        <v xml:space="preserve">  </v>
      </c>
      <c r="AB40" s="353" t="str">
        <f>IFERROR(INDEX('V3'!C$300:C$400,MATCH("*"&amp;L40&amp;"*",'V3'!B$300:B$400,0)),"  ")</f>
        <v xml:space="preserve">  </v>
      </c>
      <c r="AC40" s="353" t="str">
        <f>IFERROR(INDEX('V4'!C$300:C$400,MATCH("*"&amp;L40&amp;"*",'V4'!B$300:B$400,0)),"  ")</f>
        <v xml:space="preserve">  </v>
      </c>
      <c r="AD40" s="353" t="str">
        <f>IFERROR(INDEX('V5'!C$300:C$400,MATCH("*"&amp;L40&amp;"*",'V5'!B$300:B$400,0)),"  ")</f>
        <v xml:space="preserve">  </v>
      </c>
      <c r="AE40" s="353" t="str">
        <f>IFERROR(INDEX('V6'!C$300:C$400,MATCH("*"&amp;L40&amp;"*",'V6'!B$300:B$400,0)),"  ")</f>
        <v xml:space="preserve">  </v>
      </c>
      <c r="AF40" s="353" t="str">
        <f>IFERROR(INDEX('V7'!C$300:C$400,MATCH("*"&amp;L40&amp;"*",'V7'!B$300:B$400,0)),"  ")</f>
        <v xml:space="preserve">  </v>
      </c>
      <c r="AG40" s="353" t="str">
        <f>IFERROR(INDEX('V8'!C$300:C$400,MATCH("*"&amp;L40&amp;"*",'V8'!B$300:B$400,0)),"  ")</f>
        <v xml:space="preserve">  </v>
      </c>
      <c r="AH40" s="353" t="str">
        <f>IFERROR(INDEX('V9'!C$300:C$400,MATCH("*"&amp;L40&amp;"*",'V9'!B$300:B$400,0)),"  ")</f>
        <v xml:space="preserve">  </v>
      </c>
      <c r="AI40" s="353" t="str">
        <f>IFERROR(INDEX('V10'!C$300:C$400,MATCH("*"&amp;L40&amp;"*",'V10'!B$300:B$400,0)),"  ")</f>
        <v xml:space="preserve">  </v>
      </c>
      <c r="AJ40" s="354">
        <f t="shared" si="53"/>
        <v>0</v>
      </c>
      <c r="AK40" s="354" t="str">
        <f t="shared" si="54"/>
        <v/>
      </c>
      <c r="AL40" s="355">
        <f t="shared" si="55"/>
        <v>33</v>
      </c>
      <c r="AM40" s="356" t="str">
        <f>IFERROR(INDEX(#REF!,MATCH("*"&amp;L40&amp;"*",#REF!,0)),"  ")</f>
        <v xml:space="preserve">  </v>
      </c>
      <c r="AN40" s="357">
        <f t="shared" si="56"/>
        <v>1</v>
      </c>
      <c r="AO40" s="358">
        <f t="shared" si="57"/>
        <v>1</v>
      </c>
      <c r="AP40" s="358">
        <f t="shared" si="58"/>
        <v>1</v>
      </c>
      <c r="AQ40" s="373"/>
      <c r="AR40" s="359"/>
      <c r="AS40" s="360"/>
      <c r="AT40" s="360"/>
      <c r="AU40" s="360"/>
      <c r="AV40" s="360"/>
      <c r="AW40" s="359">
        <f t="shared" si="59"/>
        <v>2.0000000000000001E-4</v>
      </c>
      <c r="AX40" s="360">
        <f t="shared" si="60"/>
        <v>20.0001</v>
      </c>
      <c r="AY40" s="360">
        <f t="shared" si="61"/>
        <v>2.0000000000000001E-4</v>
      </c>
      <c r="AZ40" s="360">
        <f t="shared" si="62"/>
        <v>2.9999999999999997E-4</v>
      </c>
      <c r="BA40" s="360">
        <f t="shared" si="63"/>
        <v>4.0000000000000002E-4</v>
      </c>
      <c r="BB40" s="360">
        <f t="shared" si="64"/>
        <v>5.0000000000000001E-4</v>
      </c>
      <c r="BC40" s="360">
        <f t="shared" si="65"/>
        <v>5.9999999999999995E-4</v>
      </c>
      <c r="BD40" s="360">
        <f t="shared" si="66"/>
        <v>6.9999999999999999E-4</v>
      </c>
      <c r="BE40" s="360">
        <f t="shared" si="67"/>
        <v>8.0000000000000004E-4</v>
      </c>
      <c r="BF40" s="360">
        <f t="shared" si="68"/>
        <v>8.9999999999999998E-4</v>
      </c>
      <c r="BG40" s="360">
        <f t="shared" si="69"/>
        <v>1E-3</v>
      </c>
    </row>
    <row r="41" spans="1:59" x14ac:dyDescent="0.2">
      <c r="A41" s="337">
        <f t="shared" si="37"/>
        <v>25</v>
      </c>
      <c r="B41" s="338">
        <f t="shared" si="38"/>
        <v>36</v>
      </c>
      <c r="C41" s="339" t="str">
        <f t="shared" si="36"/>
        <v/>
      </c>
      <c r="D41" s="338">
        <f t="shared" si="39"/>
        <v>-964</v>
      </c>
      <c r="E41" s="340" t="str">
        <f t="shared" si="40"/>
        <v/>
      </c>
      <c r="F41" s="338">
        <f t="shared" si="41"/>
        <v>-964</v>
      </c>
      <c r="G41" s="341">
        <f t="shared" si="42"/>
        <v>7</v>
      </c>
      <c r="H41" s="338">
        <f t="shared" si="43"/>
        <v>36</v>
      </c>
      <c r="I41" s="342" t="str">
        <f t="shared" si="44"/>
        <v/>
      </c>
      <c r="J41" s="343">
        <f t="shared" si="45"/>
        <v>-964</v>
      </c>
      <c r="K41" s="302">
        <f t="shared" si="46"/>
        <v>35</v>
      </c>
      <c r="L41" s="344" t="s">
        <v>131</v>
      </c>
      <c r="M41" s="345" t="s">
        <v>119</v>
      </c>
      <c r="N41" s="346" t="str">
        <f t="shared" si="35"/>
        <v/>
      </c>
      <c r="O41" s="347"/>
      <c r="P41" s="348"/>
      <c r="Q41" s="349" t="s">
        <v>190</v>
      </c>
      <c r="R41" s="350">
        <f>(IF(COUNT(Z41,AA41,AB41,AC41,AD41,AE41,AF41,AG41,AH41,AI41)&lt;9,SUM(Z41,AA41,AB41,AC41,AD41,AE41,AF41,AG41,AH41,AI41),SUM(LARGE((Z41,AA41,AB41,AC41,AD41,AE41,AF41,AG41,AH41,AI41),{1;2;3;4;5;6;7;8;9}))))</f>
        <v>17</v>
      </c>
      <c r="S41" s="351" t="str">
        <f>INDEX(ETAPP!B$1:B$32,MATCH(COUNTIF(Z41:AI41,PVO!A$1),ETAPP!A$1:A$32,0))&amp;INDEX(ETAPP!B$1:B$32,MATCH(COUNTIF(Z41:AI41,PVO!A$2),ETAPP!A$1:A$32,0))&amp;INDEX(ETAPP!B$1:B$32,MATCH(COUNTIF(Z41:AI41,PVO!A$3),ETAPP!A$1:A$32,0))&amp;INDEX(ETAPP!B$1:B$32,MATCH(COUNTIF(Z41:AI41,PVO!A$4),ETAPP!A$1:A$32,0))&amp;INDEX(ETAPP!B$1:B$32,MATCH(COUNTIF(Z41:AI41,PVO!A$5),ETAPP!A$1:A$32,0))&amp;INDEX(ETAPP!B$1:B$32,MATCH(COUNTIF(Z41:AI41,PVO!A$6),ETAPP!A$1:A$32,0))&amp;INDEX(ETAPP!B$1:B$32,MATCH(COUNTIF(Z41:AI41,PVO!A$7),ETAPP!A$1:A$32,0))&amp;INDEX(ETAPP!B$1:B$32,MATCH(COUNTIF(Z41:AI41,PVO!A$8),ETAPP!A$1:A$32,0))&amp;INDEX(ETAPP!B$1:B$32,MATCH(COUNTIF(Z41:AI41,PVO!A$9),ETAPP!A$1:A$32,0))&amp;INDEX(ETAPP!B$1:B$32,MATCH(COUNTIF(Z41:AI41,PVO!A$10),ETAPP!A$1:A$32,0))&amp;INDEX(ETAPP!B$1:B$32,MATCH(COUNTIF(Z41:AI41,PVO!A$11),ETAPP!A$1:A$32,0))&amp;INDEX(ETAPP!B$1:B$32,MATCH(COUNTIF(Z41:AI41,PVO!A$12),ETAPP!A$1:A$32,0))&amp;INDEX(ETAPP!B$1:B$32,MATCH(COUNTIF(Z41:AI41,PVO!A$13),ETAPP!A$1:A$32,0))&amp;INDEX(ETAPP!B$1:B$32,MATCH(COUNTIF(Z41:AI41,PVO!A$14),ETAPP!A$1:A$32,0))&amp;INDEX(ETAPP!B$1:B$32,MATCH(COUNTIF(Z41:AI41,PVO!A$15),ETAPP!A$1:A$32,0))&amp;INDEX(ETAPP!B$1:B$32,MATCH(COUNTIF(Z41:AI41,PVO!A$16),ETAPP!A$1:A$32,0))&amp;INDEX(ETAPP!B$1:B$32,MATCH(COUNTIF(Z41:AI41,PVO!A$17),ETAPP!A$1:A$32,0))&amp;INDEX(ETAPP!B$1:B$32,MATCH(COUNTIF(Z41:AI41,PVO!A$18),ETAPP!A$1:A$32,0))&amp;INDEX(ETAPP!B$1:B$32,MATCH(COUNTIF(Z41:AI41,PVO!A$19),ETAPP!A$1:A$32,0))</f>
        <v>000A000000000000000</v>
      </c>
      <c r="T41" s="351" t="str">
        <f t="shared" si="47"/>
        <v>017,0-000A000000000000000</v>
      </c>
      <c r="U41" s="351">
        <f t="shared" si="48"/>
        <v>36</v>
      </c>
      <c r="V41" s="351">
        <f t="shared" si="49"/>
        <v>51</v>
      </c>
      <c r="W41" s="351" t="str">
        <f t="shared" si="50"/>
        <v>017,0-000A000000000000000-051</v>
      </c>
      <c r="X41" s="351">
        <f t="shared" si="51"/>
        <v>35</v>
      </c>
      <c r="Y41" s="352">
        <f t="shared" si="52"/>
        <v>18</v>
      </c>
      <c r="Z41" s="353" t="str">
        <f>IFERROR(INDEX('V1'!C$300:C$400,MATCH("*"&amp;L41&amp;"*",'V1'!B$300:B$400,0)),"  ")</f>
        <v xml:space="preserve">  </v>
      </c>
      <c r="AA41" s="353" t="str">
        <f>IFERROR(INDEX('V2'!C$300:C$395,MATCH("*"&amp;L41&amp;"*",'V2'!B$300:B$395,0)),"  ")</f>
        <v xml:space="preserve">  </v>
      </c>
      <c r="AB41" s="353" t="str">
        <f>IFERROR(INDEX('V3'!C$300:C$400,MATCH("*"&amp;L41&amp;"*",'V3'!B$300:B$400,0)),"  ")</f>
        <v xml:space="preserve">  </v>
      </c>
      <c r="AC41" s="353" t="str">
        <f>IFERROR(INDEX('V4'!C$300:C$400,MATCH("*"&amp;L41&amp;"*",'V4'!B$300:B$400,0)),"  ")</f>
        <v xml:space="preserve">  </v>
      </c>
      <c r="AD41" s="353" t="str">
        <f>IFERROR(INDEX('V5'!C$300:C$400,MATCH("*"&amp;L41&amp;"*",'V5'!B$300:B$400,0)),"  ")</f>
        <v xml:space="preserve">  </v>
      </c>
      <c r="AE41" s="353" t="str">
        <f>IFERROR(INDEX('V6'!C$300:C$400,MATCH("*"&amp;L41&amp;"*",'V6'!B$300:B$400,0)),"  ")</f>
        <v xml:space="preserve">  </v>
      </c>
      <c r="AF41" s="353" t="str">
        <f>IFERROR(INDEX('V7'!C$300:C$400,MATCH("*"&amp;L41&amp;"*",'V7'!B$300:B$400,0)),"  ")</f>
        <v xml:space="preserve">  </v>
      </c>
      <c r="AG41" s="353" t="str">
        <f>IFERROR(INDEX('V8'!C$300:C$400,MATCH("*"&amp;L41&amp;"*",'V8'!B$300:B$400,0)),"  ")</f>
        <v xml:space="preserve">  </v>
      </c>
      <c r="AH41" s="353" t="str">
        <f>IFERROR(INDEX('V9'!C$300:C$400,MATCH("*"&amp;L41&amp;"*",'V9'!B$300:B$400,0)),"  ")</f>
        <v xml:space="preserve">  </v>
      </c>
      <c r="AI41" s="353">
        <f>IFERROR(INDEX('V10'!C$300:C$400,MATCH("*"&amp;L41&amp;"*",'V10'!B$300:B$400,0)),"  ")</f>
        <v>17</v>
      </c>
      <c r="AJ41" s="354">
        <f t="shared" si="53"/>
        <v>0</v>
      </c>
      <c r="AK41" s="354" t="str">
        <f t="shared" si="54"/>
        <v/>
      </c>
      <c r="AL41" s="355">
        <f t="shared" si="55"/>
        <v>35</v>
      </c>
      <c r="AM41" s="356" t="str">
        <f>IFERROR(INDEX(#REF!,MATCH("*"&amp;L41&amp;"*",#REF!,0)),"  ")</f>
        <v xml:space="preserve">  </v>
      </c>
      <c r="AN41" s="357">
        <f t="shared" si="56"/>
        <v>1</v>
      </c>
      <c r="AO41" s="358">
        <f t="shared" si="57"/>
        <v>0</v>
      </c>
      <c r="AP41" s="358">
        <f t="shared" si="58"/>
        <v>0</v>
      </c>
      <c r="AQ41" s="373"/>
      <c r="AW41" s="359">
        <f t="shared" si="59"/>
        <v>1E-4</v>
      </c>
      <c r="AX41" s="360">
        <f t="shared" si="60"/>
        <v>1E-4</v>
      </c>
      <c r="AY41" s="360">
        <f t="shared" si="61"/>
        <v>2.0000000000000001E-4</v>
      </c>
      <c r="AZ41" s="360">
        <f t="shared" si="62"/>
        <v>2.9999999999999997E-4</v>
      </c>
      <c r="BA41" s="360">
        <f t="shared" si="63"/>
        <v>4.0000000000000002E-4</v>
      </c>
      <c r="BB41" s="360">
        <f t="shared" si="64"/>
        <v>5.0000000000000001E-4</v>
      </c>
      <c r="BC41" s="360">
        <f t="shared" si="65"/>
        <v>5.9999999999999995E-4</v>
      </c>
      <c r="BD41" s="360">
        <f t="shared" si="66"/>
        <v>6.9999999999999999E-4</v>
      </c>
      <c r="BE41" s="360">
        <f t="shared" si="67"/>
        <v>8.0000000000000004E-4</v>
      </c>
      <c r="BF41" s="360">
        <f t="shared" si="68"/>
        <v>8.9999999999999998E-4</v>
      </c>
      <c r="BG41" s="360">
        <f t="shared" si="69"/>
        <v>17.001000000000001</v>
      </c>
    </row>
    <row r="42" spans="1:59" x14ac:dyDescent="0.2">
      <c r="A42" s="337" t="str">
        <f t="shared" si="37"/>
        <v/>
      </c>
      <c r="B42" s="338">
        <f t="shared" si="38"/>
        <v>-964</v>
      </c>
      <c r="C42" s="339" t="str">
        <f t="shared" si="36"/>
        <v/>
      </c>
      <c r="D42" s="338">
        <f t="shared" si="39"/>
        <v>-964</v>
      </c>
      <c r="E42" s="340">
        <f t="shared" si="40"/>
        <v>29</v>
      </c>
      <c r="F42" s="338">
        <f t="shared" si="41"/>
        <v>36</v>
      </c>
      <c r="G42" s="341" t="str">
        <f t="shared" si="42"/>
        <v/>
      </c>
      <c r="H42" s="338">
        <f t="shared" si="43"/>
        <v>-964</v>
      </c>
      <c r="I42" s="342" t="str">
        <f t="shared" si="44"/>
        <v/>
      </c>
      <c r="J42" s="343">
        <f t="shared" si="45"/>
        <v>-964</v>
      </c>
      <c r="K42" s="302">
        <f t="shared" si="46"/>
        <v>35</v>
      </c>
      <c r="L42" s="344" t="s">
        <v>128</v>
      </c>
      <c r="M42" s="345"/>
      <c r="N42" s="346" t="str">
        <f t="shared" si="35"/>
        <v>m</v>
      </c>
      <c r="O42" s="347"/>
      <c r="P42" s="348"/>
      <c r="Q42" s="349"/>
      <c r="R42" s="350">
        <f>(IF(COUNT(Z42,AA42,AB42,AC42,AD42,AE42,AF42,AG42,AH42,AI42)&lt;9,SUM(Z42,AA42,AB42,AC42,AD42,AE42,AF42,AG42,AH42,AI42),SUM(LARGE((Z42,AA42,AB42,AC42,AD42,AE42,AF42,AG42,AH42,AI42),{1;2;3;4;5;6;7;8;9}))))</f>
        <v>17</v>
      </c>
      <c r="S42" s="351" t="str">
        <f>INDEX(ETAPP!B$1:B$32,MATCH(COUNTIF(Z42:AI42,PVO!A$1),ETAPP!A$1:A$32,0))&amp;INDEX(ETAPP!B$1:B$32,MATCH(COUNTIF(Z42:AI42,PVO!A$2),ETAPP!A$1:A$32,0))&amp;INDEX(ETAPP!B$1:B$32,MATCH(COUNTIF(Z42:AI42,PVO!A$3),ETAPP!A$1:A$32,0))&amp;INDEX(ETAPP!B$1:B$32,MATCH(COUNTIF(Z42:AI42,PVO!A$4),ETAPP!A$1:A$32,0))&amp;INDEX(ETAPP!B$1:B$32,MATCH(COUNTIF(Z42:AI42,PVO!A$5),ETAPP!A$1:A$32,0))&amp;INDEX(ETAPP!B$1:B$32,MATCH(COUNTIF(Z42:AI42,PVO!A$6),ETAPP!A$1:A$32,0))&amp;INDEX(ETAPP!B$1:B$32,MATCH(COUNTIF(Z42:AI42,PVO!A$7),ETAPP!A$1:A$32,0))&amp;INDEX(ETAPP!B$1:B$32,MATCH(COUNTIF(Z42:AI42,PVO!A$8),ETAPP!A$1:A$32,0))&amp;INDEX(ETAPP!B$1:B$32,MATCH(COUNTIF(Z42:AI42,PVO!A$9),ETAPP!A$1:A$32,0))&amp;INDEX(ETAPP!B$1:B$32,MATCH(COUNTIF(Z42:AI42,PVO!A$10),ETAPP!A$1:A$32,0))&amp;INDEX(ETAPP!B$1:B$32,MATCH(COUNTIF(Z42:AI42,PVO!A$11),ETAPP!A$1:A$32,0))&amp;INDEX(ETAPP!B$1:B$32,MATCH(COUNTIF(Z42:AI42,PVO!A$12),ETAPP!A$1:A$32,0))&amp;INDEX(ETAPP!B$1:B$32,MATCH(COUNTIF(Z42:AI42,PVO!A$13),ETAPP!A$1:A$32,0))&amp;INDEX(ETAPP!B$1:B$32,MATCH(COUNTIF(Z42:AI42,PVO!A$14),ETAPP!A$1:A$32,0))&amp;INDEX(ETAPP!B$1:B$32,MATCH(COUNTIF(Z42:AI42,PVO!A$15),ETAPP!A$1:A$32,0))&amp;INDEX(ETAPP!B$1:B$32,MATCH(COUNTIF(Z42:AI42,PVO!A$16),ETAPP!A$1:A$32,0))&amp;INDEX(ETAPP!B$1:B$32,MATCH(COUNTIF(Z42:AI42,PVO!A$17),ETAPP!A$1:A$32,0))&amp;INDEX(ETAPP!B$1:B$32,MATCH(COUNTIF(Z42:AI42,PVO!A$18),ETAPP!A$1:A$32,0))&amp;INDEX(ETAPP!B$1:B$32,MATCH(COUNTIF(Z42:AI42,PVO!A$19),ETAPP!A$1:A$32,0))</f>
        <v>000A000000000000000</v>
      </c>
      <c r="T42" s="351" t="str">
        <f t="shared" si="47"/>
        <v>017,0-000A000000000000000</v>
      </c>
      <c r="U42" s="351">
        <f t="shared" si="48"/>
        <v>36</v>
      </c>
      <c r="V42" s="351">
        <f t="shared" si="49"/>
        <v>34</v>
      </c>
      <c r="W42" s="351" t="str">
        <f t="shared" si="50"/>
        <v>017,0-000A000000000000000-034</v>
      </c>
      <c r="X42" s="351">
        <f t="shared" si="51"/>
        <v>36</v>
      </c>
      <c r="Y42" s="352">
        <f t="shared" si="52"/>
        <v>17</v>
      </c>
      <c r="Z42" s="353" t="str">
        <f>IFERROR(INDEX('V1'!C$300:C$400,MATCH("*"&amp;L42&amp;"*",'V1'!B$300:B$400,0)),"  ")</f>
        <v xml:space="preserve">  </v>
      </c>
      <c r="AA42" s="353" t="str">
        <f>IFERROR(INDEX('V2'!C$300:C$395,MATCH("*"&amp;L42&amp;"*",'V2'!B$300:B$395,0)),"  ")</f>
        <v xml:space="preserve">  </v>
      </c>
      <c r="AB42" s="353" t="str">
        <f>IFERROR(INDEX('V3'!C$300:C$400,MATCH("*"&amp;L42&amp;"*",'V3'!B$300:B$400,0)),"  ")</f>
        <v xml:space="preserve">  </v>
      </c>
      <c r="AC42" s="353" t="str">
        <f>IFERROR(INDEX('V4'!C$300:C$400,MATCH("*"&amp;L42&amp;"*",'V4'!B$300:B$400,0)),"  ")</f>
        <v xml:space="preserve">  </v>
      </c>
      <c r="AD42" s="353" t="str">
        <f>IFERROR(INDEX('V5'!C$300:C$400,MATCH("*"&amp;L42&amp;"*",'V5'!B$300:B$400,0)),"  ")</f>
        <v xml:space="preserve">  </v>
      </c>
      <c r="AE42" s="353" t="str">
        <f>IFERROR(INDEX('V6'!C$300:C$400,MATCH("*"&amp;L42&amp;"*",'V6'!B$300:B$400,0)),"  ")</f>
        <v xml:space="preserve">  </v>
      </c>
      <c r="AF42" s="353" t="str">
        <f>IFERROR(INDEX('V7'!C$300:C$400,MATCH("*"&amp;L42&amp;"*",'V7'!B$300:B$400,0)),"  ")</f>
        <v xml:space="preserve">  </v>
      </c>
      <c r="AG42" s="353" t="str">
        <f>IFERROR(INDEX('V8'!C$300:C$400,MATCH("*"&amp;L42&amp;"*",'V8'!B$300:B$400,0)),"  ")</f>
        <v xml:space="preserve">  </v>
      </c>
      <c r="AH42" s="353" t="str">
        <f>IFERROR(INDEX('V9'!C$300:C$400,MATCH("*"&amp;L42&amp;"*",'V9'!B$300:B$400,0)),"  ")</f>
        <v xml:space="preserve">  </v>
      </c>
      <c r="AI42" s="353">
        <f>IFERROR(INDEX('V10'!C$300:C$400,MATCH("*"&amp;L42&amp;"*",'V10'!B$300:B$400,0)),"  ")</f>
        <v>17</v>
      </c>
      <c r="AJ42" s="354">
        <f t="shared" si="53"/>
        <v>0</v>
      </c>
      <c r="AK42" s="354" t="str">
        <f t="shared" si="54"/>
        <v/>
      </c>
      <c r="AL42" s="355">
        <f t="shared" si="55"/>
        <v>35</v>
      </c>
      <c r="AM42" s="356" t="str">
        <f>IFERROR(INDEX(#REF!,MATCH("*"&amp;L42&amp;"*",#REF!,0)),"  ")</f>
        <v xml:space="preserve">  </v>
      </c>
      <c r="AN42" s="357">
        <f t="shared" si="56"/>
        <v>1</v>
      </c>
      <c r="AO42" s="358">
        <f t="shared" si="57"/>
        <v>0</v>
      </c>
      <c r="AP42" s="358">
        <f t="shared" si="58"/>
        <v>0</v>
      </c>
      <c r="AQ42" s="267"/>
      <c r="AR42" s="359"/>
      <c r="AS42" s="360"/>
      <c r="AT42" s="360"/>
      <c r="AU42" s="360"/>
      <c r="AV42" s="360"/>
      <c r="AW42" s="359">
        <f t="shared" si="59"/>
        <v>1E-4</v>
      </c>
      <c r="AX42" s="360">
        <f t="shared" si="60"/>
        <v>1E-4</v>
      </c>
      <c r="AY42" s="360">
        <f t="shared" si="61"/>
        <v>2.0000000000000001E-4</v>
      </c>
      <c r="AZ42" s="360">
        <f t="shared" si="62"/>
        <v>2.9999999999999997E-4</v>
      </c>
      <c r="BA42" s="360">
        <f t="shared" si="63"/>
        <v>4.0000000000000002E-4</v>
      </c>
      <c r="BB42" s="360">
        <f t="shared" si="64"/>
        <v>5.0000000000000001E-4</v>
      </c>
      <c r="BC42" s="360">
        <f t="shared" si="65"/>
        <v>5.9999999999999995E-4</v>
      </c>
      <c r="BD42" s="360">
        <f t="shared" si="66"/>
        <v>6.9999999999999999E-4</v>
      </c>
      <c r="BE42" s="360">
        <f t="shared" si="67"/>
        <v>8.0000000000000004E-4</v>
      </c>
      <c r="BF42" s="360">
        <f t="shared" si="68"/>
        <v>8.9999999999999998E-4</v>
      </c>
      <c r="BG42" s="360">
        <f t="shared" si="69"/>
        <v>17.001000000000001</v>
      </c>
    </row>
    <row r="43" spans="1:59" x14ac:dyDescent="0.2">
      <c r="A43" s="337" t="str">
        <f t="shared" si="37"/>
        <v/>
      </c>
      <c r="B43" s="338">
        <f t="shared" si="38"/>
        <v>-963</v>
      </c>
      <c r="C43" s="339" t="str">
        <f t="shared" si="36"/>
        <v/>
      </c>
      <c r="D43" s="338">
        <f t="shared" si="39"/>
        <v>-963</v>
      </c>
      <c r="E43" s="340">
        <f t="shared" si="40"/>
        <v>30</v>
      </c>
      <c r="F43" s="338">
        <f t="shared" si="41"/>
        <v>37</v>
      </c>
      <c r="G43" s="341" t="str">
        <f t="shared" si="42"/>
        <v/>
      </c>
      <c r="H43" s="338">
        <f t="shared" si="43"/>
        <v>-963</v>
      </c>
      <c r="I43" s="342" t="str">
        <f t="shared" si="44"/>
        <v/>
      </c>
      <c r="J43" s="343">
        <f t="shared" si="45"/>
        <v>-963</v>
      </c>
      <c r="K43" s="302">
        <f t="shared" si="46"/>
        <v>37</v>
      </c>
      <c r="L43" s="344" t="s">
        <v>155</v>
      </c>
      <c r="M43" s="345"/>
      <c r="N43" s="346" t="s">
        <v>192</v>
      </c>
      <c r="O43" s="347"/>
      <c r="P43" s="381"/>
      <c r="Q43" s="349"/>
      <c r="R43" s="350">
        <f>(IF(COUNT(Z43,AA43,AB43,AC43,AD43,AE43,AF43,AG43,AH43,AI43)&lt;9,SUM(Z43,AA43,AB43,AC43,AD43,AE43,AF43,AG43,AH43,AI43),SUM(LARGE((Z43,AA43,AB43,AC43,AD43,AE43,AF43,AG43,AH43,AI43),{1;2;3;4;5;6;7;8;9}))))</f>
        <v>16</v>
      </c>
      <c r="S43" s="351" t="str">
        <f>INDEX(ETAPP!B$1:B$32,MATCH(COUNTIF(Z43:AI43,PVO!A$1),ETAPP!A$1:A$32,0))&amp;INDEX(ETAPP!B$1:B$32,MATCH(COUNTIF(Z43:AI43,PVO!A$2),ETAPP!A$1:A$32,0))&amp;INDEX(ETAPP!B$1:B$32,MATCH(COUNTIF(Z43:AI43,PVO!A$3),ETAPP!A$1:A$32,0))&amp;INDEX(ETAPP!B$1:B$32,MATCH(COUNTIF(Z43:AI43,PVO!A$4),ETAPP!A$1:A$32,0))&amp;INDEX(ETAPP!B$1:B$32,MATCH(COUNTIF(Z43:AI43,PVO!A$5),ETAPP!A$1:A$32,0))&amp;INDEX(ETAPP!B$1:B$32,MATCH(COUNTIF(Z43:AI43,PVO!A$6),ETAPP!A$1:A$32,0))&amp;INDEX(ETAPP!B$1:B$32,MATCH(COUNTIF(Z43:AI43,PVO!A$7),ETAPP!A$1:A$32,0))&amp;INDEX(ETAPP!B$1:B$32,MATCH(COUNTIF(Z43:AI43,PVO!A$8),ETAPP!A$1:A$32,0))&amp;INDEX(ETAPP!B$1:B$32,MATCH(COUNTIF(Z43:AI43,PVO!A$9),ETAPP!A$1:A$32,0))&amp;INDEX(ETAPP!B$1:B$32,MATCH(COUNTIF(Z43:AI43,PVO!A$10),ETAPP!A$1:A$32,0))&amp;INDEX(ETAPP!B$1:B$32,MATCH(COUNTIF(Z43:AI43,PVO!A$11),ETAPP!A$1:A$32,0))&amp;INDEX(ETAPP!B$1:B$32,MATCH(COUNTIF(Z43:AI43,PVO!A$12),ETAPP!A$1:A$32,0))&amp;INDEX(ETAPP!B$1:B$32,MATCH(COUNTIF(Z43:AI43,PVO!A$13),ETAPP!A$1:A$32,0))&amp;INDEX(ETAPP!B$1:B$32,MATCH(COUNTIF(Z43:AI43,PVO!A$14),ETAPP!A$1:A$32,0))&amp;INDEX(ETAPP!B$1:B$32,MATCH(COUNTIF(Z43:AI43,PVO!A$15),ETAPP!A$1:A$32,0))&amp;INDEX(ETAPP!B$1:B$32,MATCH(COUNTIF(Z43:AI43,PVO!A$16),ETAPP!A$1:A$32,0))&amp;INDEX(ETAPP!B$1:B$32,MATCH(COUNTIF(Z43:AI43,PVO!A$17),ETAPP!A$1:A$32,0))&amp;INDEX(ETAPP!B$1:B$32,MATCH(COUNTIF(Z43:AI43,PVO!A$18),ETAPP!A$1:A$32,0))&amp;INDEX(ETAPP!B$1:B$32,MATCH(COUNTIF(Z43:AI43,PVO!A$19),ETAPP!A$1:A$32,0))</f>
        <v>000000000A00000A000</v>
      </c>
      <c r="T43" s="351" t="str">
        <f t="shared" si="47"/>
        <v>016,0-000000000A00000A000</v>
      </c>
      <c r="U43" s="351">
        <f t="shared" si="48"/>
        <v>37</v>
      </c>
      <c r="V43" s="351">
        <f t="shared" si="49"/>
        <v>35</v>
      </c>
      <c r="W43" s="351" t="str">
        <f t="shared" si="50"/>
        <v>016,0-000000000A00000A000-035</v>
      </c>
      <c r="X43" s="351">
        <f t="shared" si="51"/>
        <v>37</v>
      </c>
      <c r="Y43" s="352">
        <f t="shared" si="52"/>
        <v>16</v>
      </c>
      <c r="Z43" s="353" t="str">
        <f>IFERROR(INDEX('V1'!C$300:C$400,MATCH("*"&amp;L43&amp;"*",'V1'!B$300:B$400,0)),"  ")</f>
        <v xml:space="preserve">  </v>
      </c>
      <c r="AA43" s="353" t="str">
        <f>IFERROR(INDEX('V2'!C$300:C$395,MATCH("*"&amp;L43&amp;"*",'V2'!B$300:B$395,0)),"  ")</f>
        <v xml:space="preserve">  </v>
      </c>
      <c r="AB43" s="353" t="str">
        <f>IFERROR(INDEX('V3'!C$300:C$400,MATCH("*"&amp;L43&amp;"*",'V3'!B$300:B$400,0)),"  ")</f>
        <v xml:space="preserve">  </v>
      </c>
      <c r="AC43" s="353">
        <f>IFERROR(INDEX('V4'!C$300:C$400,MATCH("*"&amp;L43&amp;"*",'V4'!B$300:B$400,0)),"  ")</f>
        <v>11</v>
      </c>
      <c r="AD43" s="353" t="str">
        <f>IFERROR(INDEX('V5'!C$300:C$400,MATCH("*"&amp;L43&amp;"*",'V5'!B$300:B$400,0)),"  ")</f>
        <v xml:space="preserve">  </v>
      </c>
      <c r="AE43" s="353" t="str">
        <f>IFERROR(INDEX('V6'!C$300:C$400,MATCH("*"&amp;L43&amp;"*",'V6'!B$300:B$400,0)),"  ")</f>
        <v xml:space="preserve">  </v>
      </c>
      <c r="AF43" s="353">
        <f>IFERROR(INDEX('V7'!C$300:C$400,MATCH("*"&amp;L43&amp;"*",'V7'!B$300:B$400,0)),"  ")</f>
        <v>5</v>
      </c>
      <c r="AG43" s="353" t="str">
        <f>IFERROR(INDEX('V8'!C$300:C$400,MATCH("*"&amp;L43&amp;"*",'V8'!B$300:B$400,0)),"  ")</f>
        <v xml:space="preserve">  </v>
      </c>
      <c r="AH43" s="353" t="str">
        <f>IFERROR(INDEX('V9'!C$300:C$400,MATCH("*"&amp;L43&amp;"*",'V9'!B$300:B$400,0)),"  ")</f>
        <v xml:space="preserve">  </v>
      </c>
      <c r="AI43" s="353" t="str">
        <f>IFERROR(INDEX('V10'!C$300:C$400,MATCH("*"&amp;L43&amp;"*",'V10'!B$300:B$400,0)),"  ")</f>
        <v xml:space="preserve">  </v>
      </c>
      <c r="AJ43" s="354">
        <f t="shared" si="53"/>
        <v>0</v>
      </c>
      <c r="AK43" s="354" t="str">
        <f t="shared" si="54"/>
        <v/>
      </c>
      <c r="AL43" s="355">
        <f t="shared" si="55"/>
        <v>37</v>
      </c>
      <c r="AM43" s="356" t="str">
        <f>IFERROR(INDEX(#REF!,MATCH("*"&amp;L43&amp;"*",#REF!,0)),"  ")</f>
        <v xml:space="preserve">  </v>
      </c>
      <c r="AN43" s="357">
        <f t="shared" si="56"/>
        <v>2</v>
      </c>
      <c r="AO43" s="358">
        <f t="shared" si="57"/>
        <v>0</v>
      </c>
      <c r="AP43" s="358">
        <f t="shared" si="58"/>
        <v>0</v>
      </c>
      <c r="AQ43" s="267"/>
      <c r="AR43" s="359"/>
      <c r="AS43" s="360"/>
      <c r="AT43" s="360"/>
      <c r="AU43" s="360"/>
      <c r="AV43" s="360"/>
      <c r="AW43" s="359">
        <f t="shared" si="59"/>
        <v>1E-4</v>
      </c>
      <c r="AX43" s="360">
        <f t="shared" si="60"/>
        <v>1E-4</v>
      </c>
      <c r="AY43" s="360">
        <f t="shared" si="61"/>
        <v>2.0000000000000001E-4</v>
      </c>
      <c r="AZ43" s="360">
        <f t="shared" si="62"/>
        <v>2.9999999999999997E-4</v>
      </c>
      <c r="BA43" s="360">
        <f t="shared" si="63"/>
        <v>11.000400000000001</v>
      </c>
      <c r="BB43" s="360">
        <f t="shared" si="64"/>
        <v>5.0000000000000001E-4</v>
      </c>
      <c r="BC43" s="360">
        <f t="shared" si="65"/>
        <v>5.9999999999999995E-4</v>
      </c>
      <c r="BD43" s="360">
        <f t="shared" si="66"/>
        <v>5.0007000000000001</v>
      </c>
      <c r="BE43" s="360">
        <f t="shared" si="67"/>
        <v>8.0000000000000004E-4</v>
      </c>
      <c r="BF43" s="360">
        <f t="shared" si="68"/>
        <v>8.9999999999999998E-4</v>
      </c>
      <c r="BG43" s="360">
        <f t="shared" si="69"/>
        <v>1E-3</v>
      </c>
    </row>
    <row r="44" spans="1:59" x14ac:dyDescent="0.2">
      <c r="A44" s="337" t="str">
        <f t="shared" si="37"/>
        <v/>
      </c>
      <c r="B44" s="338">
        <f t="shared" si="38"/>
        <v>-961</v>
      </c>
      <c r="C44" s="339" t="str">
        <f t="shared" si="36"/>
        <v/>
      </c>
      <c r="D44" s="338">
        <f t="shared" si="39"/>
        <v>-961</v>
      </c>
      <c r="E44" s="340" t="str">
        <f t="shared" si="40"/>
        <v/>
      </c>
      <c r="F44" s="338">
        <f t="shared" si="41"/>
        <v>-961</v>
      </c>
      <c r="G44" s="341">
        <f t="shared" si="42"/>
        <v>8</v>
      </c>
      <c r="H44" s="338">
        <f t="shared" si="43"/>
        <v>39</v>
      </c>
      <c r="I44" s="342" t="str">
        <f t="shared" si="44"/>
        <v/>
      </c>
      <c r="J44" s="343">
        <f t="shared" si="45"/>
        <v>-961</v>
      </c>
      <c r="K44" s="302">
        <f t="shared" si="46"/>
        <v>38</v>
      </c>
      <c r="L44" s="361" t="s">
        <v>517</v>
      </c>
      <c r="M44" s="345" t="s">
        <v>119</v>
      </c>
      <c r="N44" s="346"/>
      <c r="O44" s="347"/>
      <c r="P44" s="348"/>
      <c r="Q44" s="349"/>
      <c r="R44" s="350">
        <f>(IF(COUNT(Z44,AA44,AB44,AC44,AD44,AE44,AF44,AG44,AH44,AI44)&lt;9,SUM(Z44,AA44,AB44,AC44,AD44,AE44,AF44,AG44,AH44,AI44),SUM(LARGE((Z44,AA44,AB44,AC44,AD44,AE44,AF44,AG44,AH44,AI44),{1;2;3;4;5;6;7;8;9}))))</f>
        <v>15</v>
      </c>
      <c r="S44" s="351" t="str">
        <f>INDEX(ETAPP!B$1:B$32,MATCH(COUNTIF(Z44:AI44,PVO!A$1),ETAPP!A$1:A$32,0))&amp;INDEX(ETAPP!B$1:B$32,MATCH(COUNTIF(Z44:AI44,PVO!A$2),ETAPP!A$1:A$32,0))&amp;INDEX(ETAPP!B$1:B$32,MATCH(COUNTIF(Z44:AI44,PVO!A$3),ETAPP!A$1:A$32,0))&amp;INDEX(ETAPP!B$1:B$32,MATCH(COUNTIF(Z44:AI44,PVO!A$4),ETAPP!A$1:A$32,0))&amp;INDEX(ETAPP!B$1:B$32,MATCH(COUNTIF(Z44:AI44,PVO!A$5),ETAPP!A$1:A$32,0))&amp;INDEX(ETAPP!B$1:B$32,MATCH(COUNTIF(Z44:AI44,PVO!A$6),ETAPP!A$1:A$32,0))&amp;INDEX(ETAPP!B$1:B$32,MATCH(COUNTIF(Z44:AI44,PVO!A$7),ETAPP!A$1:A$32,0))&amp;INDEX(ETAPP!B$1:B$32,MATCH(COUNTIF(Z44:AI44,PVO!A$8),ETAPP!A$1:A$32,0))&amp;INDEX(ETAPP!B$1:B$32,MATCH(COUNTIF(Z44:AI44,PVO!A$9),ETAPP!A$1:A$32,0))&amp;INDEX(ETAPP!B$1:B$32,MATCH(COUNTIF(Z44:AI44,PVO!A$10),ETAPP!A$1:A$32,0))&amp;INDEX(ETAPP!B$1:B$32,MATCH(COUNTIF(Z44:AI44,PVO!A$11),ETAPP!A$1:A$32,0))&amp;INDEX(ETAPP!B$1:B$32,MATCH(COUNTIF(Z44:AI44,PVO!A$12),ETAPP!A$1:A$32,0))&amp;INDEX(ETAPP!B$1:B$32,MATCH(COUNTIF(Z44:AI44,PVO!A$13),ETAPP!A$1:A$32,0))&amp;INDEX(ETAPP!B$1:B$32,MATCH(COUNTIF(Z44:AI44,PVO!A$14),ETAPP!A$1:A$32,0))&amp;INDEX(ETAPP!B$1:B$32,MATCH(COUNTIF(Z44:AI44,PVO!A$15),ETAPP!A$1:A$32,0))&amp;INDEX(ETAPP!B$1:B$32,MATCH(COUNTIF(Z44:AI44,PVO!A$16),ETAPP!A$1:A$32,0))&amp;INDEX(ETAPP!B$1:B$32,MATCH(COUNTIF(Z44:AI44,PVO!A$17),ETAPP!A$1:A$32,0))&amp;INDEX(ETAPP!B$1:B$32,MATCH(COUNTIF(Z44:AI44,PVO!A$18),ETAPP!A$1:A$32,0))&amp;INDEX(ETAPP!B$1:B$32,MATCH(COUNTIF(Z44:AI44,PVO!A$19),ETAPP!A$1:A$32,0))</f>
        <v>00000A0000000000000</v>
      </c>
      <c r="T44" s="351" t="str">
        <f t="shared" si="47"/>
        <v>015,0-00000A0000000000000</v>
      </c>
      <c r="U44" s="351">
        <f t="shared" si="48"/>
        <v>39</v>
      </c>
      <c r="V44" s="351">
        <f t="shared" si="49"/>
        <v>31</v>
      </c>
      <c r="W44" s="351" t="str">
        <f t="shared" si="50"/>
        <v>015,0-00000A0000000000000-031</v>
      </c>
      <c r="X44" s="351">
        <f t="shared" si="51"/>
        <v>38</v>
      </c>
      <c r="Y44" s="352">
        <f t="shared" si="52"/>
        <v>15</v>
      </c>
      <c r="Z44" s="353" t="str">
        <f>IFERROR(INDEX('V1'!C$300:C$400,MATCH("*"&amp;L44&amp;"*",'V1'!B$300:B$400,0)),"  ")</f>
        <v xml:space="preserve">  </v>
      </c>
      <c r="AA44" s="353" t="str">
        <f>IFERROR(INDEX('V2'!C$300:C$395,MATCH("*"&amp;L44&amp;"*",'V2'!B$300:B$395,0)),"  ")</f>
        <v xml:space="preserve">  </v>
      </c>
      <c r="AB44" s="353" t="str">
        <f>IFERROR(INDEX('V3'!C$300:C$400,MATCH("*"&amp;L44&amp;"*",'V3'!B$300:B$400,0)),"  ")</f>
        <v xml:space="preserve">  </v>
      </c>
      <c r="AC44" s="353" t="str">
        <f>IFERROR(INDEX('V4'!C$300:C$400,MATCH("*"&amp;L44&amp;"*",'V4'!B$300:B$400,0)),"  ")</f>
        <v xml:space="preserve">  </v>
      </c>
      <c r="AD44" s="353" t="str">
        <f>IFERROR(INDEX('V5'!C$300:C$400,MATCH("*"&amp;L44&amp;"*",'V5'!B$300:B$400,0)),"  ")</f>
        <v xml:space="preserve">  </v>
      </c>
      <c r="AE44" s="353" t="str">
        <f>IFERROR(INDEX('V6'!C$300:C$400,MATCH("*"&amp;L44&amp;"*",'V6'!B$300:B$400,0)),"  ")</f>
        <v xml:space="preserve">  </v>
      </c>
      <c r="AF44" s="353">
        <f>IFERROR(INDEX('V7'!C$300:C$400,MATCH("*"&amp;L44&amp;"*",'V7'!B$300:B$400,0)),"  ")</f>
        <v>15</v>
      </c>
      <c r="AG44" s="353" t="str">
        <f>IFERROR(INDEX('V8'!C$300:C$400,MATCH("*"&amp;L44&amp;"*",'V8'!B$300:B$400,0)),"  ")</f>
        <v xml:space="preserve">  </v>
      </c>
      <c r="AH44" s="353" t="str">
        <f>IFERROR(INDEX('V9'!C$300:C$400,MATCH("*"&amp;L44&amp;"*",'V9'!B$300:B$400,0)),"  ")</f>
        <v xml:space="preserve">  </v>
      </c>
      <c r="AI44" s="353" t="str">
        <f>IFERROR(INDEX('V10'!C$300:C$400,MATCH("*"&amp;L44&amp;"*",'V10'!B$300:B$400,0)),"  ")</f>
        <v xml:space="preserve">  </v>
      </c>
      <c r="AJ44" s="354">
        <f t="shared" si="53"/>
        <v>0</v>
      </c>
      <c r="AK44" s="354" t="str">
        <f t="shared" si="54"/>
        <v/>
      </c>
      <c r="AL44" s="355">
        <f t="shared" si="55"/>
        <v>38</v>
      </c>
      <c r="AM44" s="356" t="str">
        <f>IFERROR(INDEX(#REF!,MATCH("*"&amp;L44&amp;"*",#REF!,0)),"  ")</f>
        <v xml:space="preserve">  </v>
      </c>
      <c r="AN44" s="357">
        <f t="shared" si="56"/>
        <v>1</v>
      </c>
      <c r="AO44" s="358">
        <f t="shared" si="57"/>
        <v>0</v>
      </c>
      <c r="AP44" s="358">
        <f t="shared" si="58"/>
        <v>0</v>
      </c>
      <c r="AQ44" s="267"/>
      <c r="AR44" s="359"/>
      <c r="AS44" s="360"/>
      <c r="AT44" s="360"/>
      <c r="AU44" s="360"/>
      <c r="AV44" s="360"/>
      <c r="AW44" s="359">
        <f t="shared" si="59"/>
        <v>1E-4</v>
      </c>
      <c r="AX44" s="360">
        <f t="shared" si="60"/>
        <v>1E-4</v>
      </c>
      <c r="AY44" s="360">
        <f t="shared" si="61"/>
        <v>2.0000000000000001E-4</v>
      </c>
      <c r="AZ44" s="360">
        <f t="shared" si="62"/>
        <v>2.9999999999999997E-4</v>
      </c>
      <c r="BA44" s="360">
        <f t="shared" si="63"/>
        <v>4.0000000000000002E-4</v>
      </c>
      <c r="BB44" s="360">
        <f t="shared" si="64"/>
        <v>5.0000000000000001E-4</v>
      </c>
      <c r="BC44" s="360">
        <f t="shared" si="65"/>
        <v>5.9999999999999995E-4</v>
      </c>
      <c r="BD44" s="360">
        <f t="shared" si="66"/>
        <v>15.0007</v>
      </c>
      <c r="BE44" s="360">
        <f t="shared" si="67"/>
        <v>8.0000000000000004E-4</v>
      </c>
      <c r="BF44" s="360">
        <f t="shared" si="68"/>
        <v>8.9999999999999998E-4</v>
      </c>
      <c r="BG44" s="360">
        <f t="shared" si="69"/>
        <v>1E-3</v>
      </c>
    </row>
    <row r="45" spans="1:59" x14ac:dyDescent="0.2">
      <c r="A45" s="337" t="str">
        <f t="shared" si="37"/>
        <v/>
      </c>
      <c r="B45" s="338">
        <f t="shared" si="38"/>
        <v>-961</v>
      </c>
      <c r="C45" s="339" t="str">
        <f t="shared" si="36"/>
        <v/>
      </c>
      <c r="D45" s="338">
        <f t="shared" si="39"/>
        <v>-961</v>
      </c>
      <c r="E45" s="340">
        <f t="shared" si="40"/>
        <v>31</v>
      </c>
      <c r="F45" s="338">
        <f t="shared" si="41"/>
        <v>39</v>
      </c>
      <c r="G45" s="341" t="str">
        <f t="shared" si="42"/>
        <v/>
      </c>
      <c r="H45" s="338">
        <f t="shared" si="43"/>
        <v>-961</v>
      </c>
      <c r="I45" s="342" t="str">
        <f t="shared" si="44"/>
        <v/>
      </c>
      <c r="J45" s="343">
        <f t="shared" si="45"/>
        <v>-961</v>
      </c>
      <c r="K45" s="302">
        <f t="shared" si="46"/>
        <v>38</v>
      </c>
      <c r="L45" s="361" t="s">
        <v>518</v>
      </c>
      <c r="M45" s="345"/>
      <c r="N45" s="346" t="s">
        <v>192</v>
      </c>
      <c r="O45" s="347"/>
      <c r="P45" s="348"/>
      <c r="Q45" s="349"/>
      <c r="R45" s="350">
        <f>(IF(COUNT(Z45,AA45,AB45,AC45,AD45,AE45,AF45,AG45,AH45,AI45)&lt;9,SUM(Z45,AA45,AB45,AC45,AD45,AE45,AF45,AG45,AH45,AI45),SUM(LARGE((Z45,AA45,AB45,AC45,AD45,AE45,AF45,AG45,AH45,AI45),{1;2;3;4;5;6;7;8;9}))))</f>
        <v>15</v>
      </c>
      <c r="S45" s="351" t="str">
        <f>INDEX(ETAPP!B$1:B$32,MATCH(COUNTIF(Z45:AI45,PVO!A$1),ETAPP!A$1:A$32,0))&amp;INDEX(ETAPP!B$1:B$32,MATCH(COUNTIF(Z45:AI45,PVO!A$2),ETAPP!A$1:A$32,0))&amp;INDEX(ETAPP!B$1:B$32,MATCH(COUNTIF(Z45:AI45,PVO!A$3),ETAPP!A$1:A$32,0))&amp;INDEX(ETAPP!B$1:B$32,MATCH(COUNTIF(Z45:AI45,PVO!A$4),ETAPP!A$1:A$32,0))&amp;INDEX(ETAPP!B$1:B$32,MATCH(COUNTIF(Z45:AI45,PVO!A$5),ETAPP!A$1:A$32,0))&amp;INDEX(ETAPP!B$1:B$32,MATCH(COUNTIF(Z45:AI45,PVO!A$6),ETAPP!A$1:A$32,0))&amp;INDEX(ETAPP!B$1:B$32,MATCH(COUNTIF(Z45:AI45,PVO!A$7),ETAPP!A$1:A$32,0))&amp;INDEX(ETAPP!B$1:B$32,MATCH(COUNTIF(Z45:AI45,PVO!A$8),ETAPP!A$1:A$32,0))&amp;INDEX(ETAPP!B$1:B$32,MATCH(COUNTIF(Z45:AI45,PVO!A$9),ETAPP!A$1:A$32,0))&amp;INDEX(ETAPP!B$1:B$32,MATCH(COUNTIF(Z45:AI45,PVO!A$10),ETAPP!A$1:A$32,0))&amp;INDEX(ETAPP!B$1:B$32,MATCH(COUNTIF(Z45:AI45,PVO!A$11),ETAPP!A$1:A$32,0))&amp;INDEX(ETAPP!B$1:B$32,MATCH(COUNTIF(Z45:AI45,PVO!A$12),ETAPP!A$1:A$32,0))&amp;INDEX(ETAPP!B$1:B$32,MATCH(COUNTIF(Z45:AI45,PVO!A$13),ETAPP!A$1:A$32,0))&amp;INDEX(ETAPP!B$1:B$32,MATCH(COUNTIF(Z45:AI45,PVO!A$14),ETAPP!A$1:A$32,0))&amp;INDEX(ETAPP!B$1:B$32,MATCH(COUNTIF(Z45:AI45,PVO!A$15),ETAPP!A$1:A$32,0))&amp;INDEX(ETAPP!B$1:B$32,MATCH(COUNTIF(Z45:AI45,PVO!A$16),ETAPP!A$1:A$32,0))&amp;INDEX(ETAPP!B$1:B$32,MATCH(COUNTIF(Z45:AI45,PVO!A$17),ETAPP!A$1:A$32,0))&amp;INDEX(ETAPP!B$1:B$32,MATCH(COUNTIF(Z45:AI45,PVO!A$18),ETAPP!A$1:A$32,0))&amp;INDEX(ETAPP!B$1:B$32,MATCH(COUNTIF(Z45:AI45,PVO!A$19),ETAPP!A$1:A$32,0))</f>
        <v>00000A0000000000000</v>
      </c>
      <c r="T45" s="351" t="str">
        <f t="shared" si="47"/>
        <v>015,0-00000A0000000000000</v>
      </c>
      <c r="U45" s="351">
        <f t="shared" si="48"/>
        <v>39</v>
      </c>
      <c r="V45" s="351">
        <f t="shared" si="49"/>
        <v>5</v>
      </c>
      <c r="W45" s="351" t="str">
        <f t="shared" si="50"/>
        <v>015,0-00000A0000000000000-005</v>
      </c>
      <c r="X45" s="351">
        <f t="shared" si="51"/>
        <v>39</v>
      </c>
      <c r="Y45" s="352">
        <f t="shared" si="52"/>
        <v>14</v>
      </c>
      <c r="Z45" s="353" t="str">
        <f>IFERROR(INDEX('V1'!C$300:C$400,MATCH("*"&amp;L45&amp;"*",'V1'!B$300:B$400,0)),"  ")</f>
        <v xml:space="preserve">  </v>
      </c>
      <c r="AA45" s="353" t="str">
        <f>IFERROR(INDEX('V2'!C$300:C$395,MATCH("*"&amp;L45&amp;"*",'V2'!B$300:B$395,0)),"  ")</f>
        <v xml:space="preserve">  </v>
      </c>
      <c r="AB45" s="353" t="str">
        <f>IFERROR(INDEX('V3'!C$300:C$400,MATCH("*"&amp;L45&amp;"*",'V3'!B$300:B$400,0)),"  ")</f>
        <v xml:space="preserve">  </v>
      </c>
      <c r="AC45" s="353" t="str">
        <f>IFERROR(INDEX('V4'!C$300:C$400,MATCH("*"&amp;L45&amp;"*",'V4'!B$300:B$400,0)),"  ")</f>
        <v xml:space="preserve">  </v>
      </c>
      <c r="AD45" s="353" t="str">
        <f>IFERROR(INDEX('V5'!C$300:C$400,MATCH("*"&amp;L45&amp;"*",'V5'!B$300:B$400,0)),"  ")</f>
        <v xml:space="preserve">  </v>
      </c>
      <c r="AE45" s="353" t="str">
        <f>IFERROR(INDEX('V6'!C$300:C$400,MATCH("*"&amp;L45&amp;"*",'V6'!B$300:B$400,0)),"  ")</f>
        <v xml:space="preserve">  </v>
      </c>
      <c r="AF45" s="353">
        <f>IFERROR(INDEX('V7'!C$300:C$400,MATCH("*"&amp;L45&amp;"*",'V7'!B$300:B$400,0)),"  ")</f>
        <v>15</v>
      </c>
      <c r="AG45" s="353" t="str">
        <f>IFERROR(INDEX('V8'!C$300:C$400,MATCH("*"&amp;L45&amp;"*",'V8'!B$300:B$400,0)),"  ")</f>
        <v xml:space="preserve">  </v>
      </c>
      <c r="AH45" s="353" t="str">
        <f>IFERROR(INDEX('V9'!C$300:C$400,MATCH("*"&amp;L45&amp;"*",'V9'!B$300:B$400,0)),"  ")</f>
        <v xml:space="preserve">  </v>
      </c>
      <c r="AI45" s="353" t="str">
        <f>IFERROR(INDEX('V10'!C$300:C$400,MATCH("*"&amp;L45&amp;"*",'V10'!B$300:B$400,0)),"  ")</f>
        <v xml:space="preserve">  </v>
      </c>
      <c r="AJ45" s="354">
        <f t="shared" si="53"/>
        <v>0</v>
      </c>
      <c r="AK45" s="354" t="str">
        <f t="shared" si="54"/>
        <v/>
      </c>
      <c r="AL45" s="355">
        <f t="shared" si="55"/>
        <v>38</v>
      </c>
      <c r="AM45" s="356" t="str">
        <f>IFERROR(INDEX(#REF!,MATCH("*"&amp;L45&amp;"*",#REF!,0)),"  ")</f>
        <v xml:space="preserve">  </v>
      </c>
      <c r="AN45" s="357">
        <f t="shared" si="56"/>
        <v>1</v>
      </c>
      <c r="AO45" s="358">
        <f t="shared" si="57"/>
        <v>0</v>
      </c>
      <c r="AP45" s="358">
        <f t="shared" si="58"/>
        <v>0</v>
      </c>
      <c r="AQ45" s="267"/>
      <c r="AR45" s="359"/>
      <c r="AS45" s="360"/>
      <c r="AT45" s="360"/>
      <c r="AU45" s="360"/>
      <c r="AV45" s="360"/>
      <c r="AW45" s="359">
        <f t="shared" si="59"/>
        <v>1E-4</v>
      </c>
      <c r="AX45" s="360">
        <f t="shared" si="60"/>
        <v>1E-4</v>
      </c>
      <c r="AY45" s="360">
        <f t="shared" si="61"/>
        <v>2.0000000000000001E-4</v>
      </c>
      <c r="AZ45" s="360">
        <f t="shared" si="62"/>
        <v>2.9999999999999997E-4</v>
      </c>
      <c r="BA45" s="360">
        <f t="shared" si="63"/>
        <v>4.0000000000000002E-4</v>
      </c>
      <c r="BB45" s="360">
        <f t="shared" si="64"/>
        <v>5.0000000000000001E-4</v>
      </c>
      <c r="BC45" s="360">
        <f t="shared" si="65"/>
        <v>5.9999999999999995E-4</v>
      </c>
      <c r="BD45" s="360">
        <f t="shared" si="66"/>
        <v>15.0007</v>
      </c>
      <c r="BE45" s="360">
        <f t="shared" si="67"/>
        <v>8.0000000000000004E-4</v>
      </c>
      <c r="BF45" s="360">
        <f t="shared" si="68"/>
        <v>8.9999999999999998E-4</v>
      </c>
      <c r="BG45" s="360">
        <f t="shared" si="69"/>
        <v>1E-3</v>
      </c>
    </row>
    <row r="46" spans="1:59" x14ac:dyDescent="0.2">
      <c r="A46" s="337" t="str">
        <f t="shared" si="37"/>
        <v/>
      </c>
      <c r="B46" s="338">
        <f t="shared" si="38"/>
        <v>-959</v>
      </c>
      <c r="C46" s="339" t="str">
        <f t="shared" si="36"/>
        <v/>
      </c>
      <c r="D46" s="338">
        <f t="shared" si="39"/>
        <v>-959</v>
      </c>
      <c r="E46" s="340" t="str">
        <f t="shared" si="40"/>
        <v/>
      </c>
      <c r="F46" s="338">
        <f t="shared" si="41"/>
        <v>-959</v>
      </c>
      <c r="G46" s="341">
        <f t="shared" si="42"/>
        <v>9</v>
      </c>
      <c r="H46" s="338">
        <f t="shared" si="43"/>
        <v>41</v>
      </c>
      <c r="I46" s="342" t="str">
        <f t="shared" si="44"/>
        <v/>
      </c>
      <c r="J46" s="343">
        <f t="shared" si="45"/>
        <v>-959</v>
      </c>
      <c r="K46" s="302">
        <f t="shared" si="46"/>
        <v>40</v>
      </c>
      <c r="L46" s="361" t="s">
        <v>525</v>
      </c>
      <c r="M46" s="345" t="s">
        <v>119</v>
      </c>
      <c r="N46" s="346"/>
      <c r="O46" s="347"/>
      <c r="P46" s="348"/>
      <c r="Q46" s="349"/>
      <c r="R46" s="350">
        <f>(IF(COUNT(Z46,AA46,AB46,AC46,AD46,AE46,AF46,AG46,AH46,AI46)&lt;9,SUM(Z46,AA46,AB46,AC46,AD46,AE46,AF46,AG46,AH46,AI46),SUM(LARGE((Z46,AA46,AB46,AC46,AD46,AE46,AF46,AG46,AH46,AI46),{1;2;3;4;5;6;7;8;9}))))</f>
        <v>14</v>
      </c>
      <c r="S46" s="351" t="str">
        <f>INDEX(ETAPP!B$1:B$32,MATCH(COUNTIF(Z46:AI46,PVO!A$1),ETAPP!A$1:A$32,0))&amp;INDEX(ETAPP!B$1:B$32,MATCH(COUNTIF(Z46:AI46,PVO!A$2),ETAPP!A$1:A$32,0))&amp;INDEX(ETAPP!B$1:B$32,MATCH(COUNTIF(Z46:AI46,PVO!A$3),ETAPP!A$1:A$32,0))&amp;INDEX(ETAPP!B$1:B$32,MATCH(COUNTIF(Z46:AI46,PVO!A$4),ETAPP!A$1:A$32,0))&amp;INDEX(ETAPP!B$1:B$32,MATCH(COUNTIF(Z46:AI46,PVO!A$5),ETAPP!A$1:A$32,0))&amp;INDEX(ETAPP!B$1:B$32,MATCH(COUNTIF(Z46:AI46,PVO!A$6),ETAPP!A$1:A$32,0))&amp;INDEX(ETAPP!B$1:B$32,MATCH(COUNTIF(Z46:AI46,PVO!A$7),ETAPP!A$1:A$32,0))&amp;INDEX(ETAPP!B$1:B$32,MATCH(COUNTIF(Z46:AI46,PVO!A$8),ETAPP!A$1:A$32,0))&amp;INDEX(ETAPP!B$1:B$32,MATCH(COUNTIF(Z46:AI46,PVO!A$9),ETAPP!A$1:A$32,0))&amp;INDEX(ETAPP!B$1:B$32,MATCH(COUNTIF(Z46:AI46,PVO!A$10),ETAPP!A$1:A$32,0))&amp;INDEX(ETAPP!B$1:B$32,MATCH(COUNTIF(Z46:AI46,PVO!A$11),ETAPP!A$1:A$32,0))&amp;INDEX(ETAPP!B$1:B$32,MATCH(COUNTIF(Z46:AI46,PVO!A$12),ETAPP!A$1:A$32,0))&amp;INDEX(ETAPP!B$1:B$32,MATCH(COUNTIF(Z46:AI46,PVO!A$13),ETAPP!A$1:A$32,0))&amp;INDEX(ETAPP!B$1:B$32,MATCH(COUNTIF(Z46:AI46,PVO!A$14),ETAPP!A$1:A$32,0))&amp;INDEX(ETAPP!B$1:B$32,MATCH(COUNTIF(Z46:AI46,PVO!A$15),ETAPP!A$1:A$32,0))&amp;INDEX(ETAPP!B$1:B$32,MATCH(COUNTIF(Z46:AI46,PVO!A$16),ETAPP!A$1:A$32,0))&amp;INDEX(ETAPP!B$1:B$32,MATCH(COUNTIF(Z46:AI46,PVO!A$17),ETAPP!A$1:A$32,0))&amp;INDEX(ETAPP!B$1:B$32,MATCH(COUNTIF(Z46:AI46,PVO!A$18),ETAPP!A$1:A$32,0))&amp;INDEX(ETAPP!B$1:B$32,MATCH(COUNTIF(Z46:AI46,PVO!A$19),ETAPP!A$1:A$32,0))</f>
        <v>000000A000000000000</v>
      </c>
      <c r="T46" s="351" t="str">
        <f t="shared" si="47"/>
        <v>014,0-000000A000000000000</v>
      </c>
      <c r="U46" s="351">
        <f t="shared" si="48"/>
        <v>41</v>
      </c>
      <c r="V46" s="351">
        <f t="shared" si="49"/>
        <v>30</v>
      </c>
      <c r="W46" s="351" t="str">
        <f t="shared" si="50"/>
        <v>014,0-000000A000000000000-030</v>
      </c>
      <c r="X46" s="351">
        <f t="shared" si="51"/>
        <v>40</v>
      </c>
      <c r="Y46" s="352">
        <f t="shared" si="52"/>
        <v>13</v>
      </c>
      <c r="Z46" s="353" t="str">
        <f>IFERROR(INDEX('V1'!C$300:C$400,MATCH("*"&amp;L46&amp;"*",'V1'!B$300:B$400,0)),"  ")</f>
        <v xml:space="preserve">  </v>
      </c>
      <c r="AA46" s="353" t="str">
        <f>IFERROR(INDEX('V2'!C$300:C$395,MATCH("*"&amp;L46&amp;"*",'V2'!B$300:B$395,0)),"  ")</f>
        <v xml:space="preserve">  </v>
      </c>
      <c r="AB46" s="353" t="str">
        <f>IFERROR(INDEX('V3'!C$300:C$400,MATCH("*"&amp;L46&amp;"*",'V3'!B$300:B$400,0)),"  ")</f>
        <v xml:space="preserve">  </v>
      </c>
      <c r="AC46" s="353" t="str">
        <f>IFERROR(INDEX('V4'!C$300:C$400,MATCH("*"&amp;L46&amp;"*",'V4'!B$300:B$400,0)),"  ")</f>
        <v xml:space="preserve">  </v>
      </c>
      <c r="AD46" s="353" t="str">
        <f>IFERROR(INDEX('V5'!C$300:C$400,MATCH("*"&amp;L46&amp;"*",'V5'!B$300:B$400,0)),"  ")</f>
        <v xml:space="preserve">  </v>
      </c>
      <c r="AE46" s="353" t="str">
        <f>IFERROR(INDEX('V6'!C$300:C$400,MATCH("*"&amp;L46&amp;"*",'V6'!B$300:B$400,0)),"  ")</f>
        <v xml:space="preserve">  </v>
      </c>
      <c r="AF46" s="353" t="str">
        <f>IFERROR(INDEX('V7'!C$300:C$400,MATCH("*"&amp;L46&amp;"*",'V7'!B$300:B$400,0)),"  ")</f>
        <v xml:space="preserve">  </v>
      </c>
      <c r="AG46" s="353">
        <f>IFERROR(INDEX('V8'!C$300:C$400,MATCH("*"&amp;L46&amp;"*",'V8'!B$300:B$400,0)),"  ")</f>
        <v>14</v>
      </c>
      <c r="AH46" s="353" t="str">
        <f>IFERROR(INDEX('V9'!C$300:C$400,MATCH("*"&amp;L46&amp;"*",'V9'!B$300:B$400,0)),"  ")</f>
        <v xml:space="preserve">  </v>
      </c>
      <c r="AI46" s="353" t="str">
        <f>IFERROR(INDEX('V10'!C$300:C$400,MATCH("*"&amp;L46&amp;"*",'V10'!B$300:B$400,0)),"  ")</f>
        <v xml:space="preserve">  </v>
      </c>
      <c r="AJ46" s="354">
        <f t="shared" si="53"/>
        <v>0</v>
      </c>
      <c r="AK46" s="354" t="str">
        <f t="shared" si="54"/>
        <v/>
      </c>
      <c r="AL46" s="355">
        <f t="shared" si="55"/>
        <v>40</v>
      </c>
      <c r="AM46" s="356" t="str">
        <f>IFERROR(INDEX(#REF!,MATCH("*"&amp;L46&amp;"*",#REF!,0)),"  ")</f>
        <v xml:space="preserve">  </v>
      </c>
      <c r="AN46" s="357">
        <f t="shared" si="56"/>
        <v>1</v>
      </c>
      <c r="AO46" s="358">
        <f t="shared" si="57"/>
        <v>0</v>
      </c>
      <c r="AP46" s="358">
        <f t="shared" si="58"/>
        <v>0</v>
      </c>
      <c r="AQ46" s="267"/>
      <c r="AR46" s="359"/>
      <c r="AS46" s="360"/>
      <c r="AT46" s="360"/>
      <c r="AU46" s="360"/>
      <c r="AV46" s="360"/>
      <c r="AW46" s="359">
        <f t="shared" si="59"/>
        <v>1E-4</v>
      </c>
      <c r="AX46" s="360">
        <f t="shared" si="60"/>
        <v>1E-4</v>
      </c>
      <c r="AY46" s="360">
        <f t="shared" si="61"/>
        <v>2.0000000000000001E-4</v>
      </c>
      <c r="AZ46" s="360">
        <f t="shared" si="62"/>
        <v>2.9999999999999997E-4</v>
      </c>
      <c r="BA46" s="360">
        <f t="shared" si="63"/>
        <v>4.0000000000000002E-4</v>
      </c>
      <c r="BB46" s="360">
        <f t="shared" si="64"/>
        <v>5.0000000000000001E-4</v>
      </c>
      <c r="BC46" s="360">
        <f t="shared" si="65"/>
        <v>5.9999999999999995E-4</v>
      </c>
      <c r="BD46" s="360">
        <f t="shared" si="66"/>
        <v>6.9999999999999999E-4</v>
      </c>
      <c r="BE46" s="360">
        <f t="shared" si="67"/>
        <v>14.0008</v>
      </c>
      <c r="BF46" s="360">
        <f t="shared" si="68"/>
        <v>8.9999999999999998E-4</v>
      </c>
      <c r="BG46" s="360">
        <f t="shared" si="69"/>
        <v>1E-3</v>
      </c>
    </row>
    <row r="47" spans="1:59" x14ac:dyDescent="0.2">
      <c r="A47" s="337" t="str">
        <f t="shared" si="37"/>
        <v/>
      </c>
      <c r="B47" s="338">
        <f t="shared" si="38"/>
        <v>-959</v>
      </c>
      <c r="C47" s="339" t="str">
        <f t="shared" si="36"/>
        <v/>
      </c>
      <c r="D47" s="338">
        <f t="shared" si="39"/>
        <v>-959</v>
      </c>
      <c r="E47" s="340" t="str">
        <f t="shared" si="40"/>
        <v/>
      </c>
      <c r="F47" s="338">
        <f t="shared" si="41"/>
        <v>-959</v>
      </c>
      <c r="G47" s="341">
        <f t="shared" si="42"/>
        <v>9</v>
      </c>
      <c r="H47" s="338">
        <f t="shared" si="43"/>
        <v>41</v>
      </c>
      <c r="I47" s="342" t="str">
        <f t="shared" si="44"/>
        <v/>
      </c>
      <c r="J47" s="343">
        <f t="shared" si="45"/>
        <v>-959</v>
      </c>
      <c r="K47" s="302">
        <f t="shared" si="46"/>
        <v>40</v>
      </c>
      <c r="L47" s="344" t="s">
        <v>197</v>
      </c>
      <c r="M47" s="345" t="s">
        <v>119</v>
      </c>
      <c r="N47" s="346"/>
      <c r="O47" s="347"/>
      <c r="P47" s="381"/>
      <c r="Q47" s="349"/>
      <c r="R47" s="350">
        <f>(IF(COUNT(Z47,AA47,AB47,AC47,AD47,AE47,AF47,AG47,AH47,AI47)&lt;9,SUM(Z47,AA47,AB47,AC47,AD47,AE47,AF47,AG47,AH47,AI47),SUM(LARGE((Z47,AA47,AB47,AC47,AD47,AE47,AF47,AG47,AH47,AI47),{1;2;3;4;5;6;7;8;9}))))</f>
        <v>14</v>
      </c>
      <c r="S47" s="351" t="str">
        <f>INDEX(ETAPP!B$1:B$32,MATCH(COUNTIF(Z47:AI47,PVO!A$1),ETAPP!A$1:A$32,0))&amp;INDEX(ETAPP!B$1:B$32,MATCH(COUNTIF(Z47:AI47,PVO!A$2),ETAPP!A$1:A$32,0))&amp;INDEX(ETAPP!B$1:B$32,MATCH(COUNTIF(Z47:AI47,PVO!A$3),ETAPP!A$1:A$32,0))&amp;INDEX(ETAPP!B$1:B$32,MATCH(COUNTIF(Z47:AI47,PVO!A$4),ETAPP!A$1:A$32,0))&amp;INDEX(ETAPP!B$1:B$32,MATCH(COUNTIF(Z47:AI47,PVO!A$5),ETAPP!A$1:A$32,0))&amp;INDEX(ETAPP!B$1:B$32,MATCH(COUNTIF(Z47:AI47,PVO!A$6),ETAPP!A$1:A$32,0))&amp;INDEX(ETAPP!B$1:B$32,MATCH(COUNTIF(Z47:AI47,PVO!A$7),ETAPP!A$1:A$32,0))&amp;INDEX(ETAPP!B$1:B$32,MATCH(COUNTIF(Z47:AI47,PVO!A$8),ETAPP!A$1:A$32,0))&amp;INDEX(ETAPP!B$1:B$32,MATCH(COUNTIF(Z47:AI47,PVO!A$9),ETAPP!A$1:A$32,0))&amp;INDEX(ETAPP!B$1:B$32,MATCH(COUNTIF(Z47:AI47,PVO!A$10),ETAPP!A$1:A$32,0))&amp;INDEX(ETAPP!B$1:B$32,MATCH(COUNTIF(Z47:AI47,PVO!A$11),ETAPP!A$1:A$32,0))&amp;INDEX(ETAPP!B$1:B$32,MATCH(COUNTIF(Z47:AI47,PVO!A$12),ETAPP!A$1:A$32,0))&amp;INDEX(ETAPP!B$1:B$32,MATCH(COUNTIF(Z47:AI47,PVO!A$13),ETAPP!A$1:A$32,0))&amp;INDEX(ETAPP!B$1:B$32,MATCH(COUNTIF(Z47:AI47,PVO!A$14),ETAPP!A$1:A$32,0))&amp;INDEX(ETAPP!B$1:B$32,MATCH(COUNTIF(Z47:AI47,PVO!A$15),ETAPP!A$1:A$32,0))&amp;INDEX(ETAPP!B$1:B$32,MATCH(COUNTIF(Z47:AI47,PVO!A$16),ETAPP!A$1:A$32,0))&amp;INDEX(ETAPP!B$1:B$32,MATCH(COUNTIF(Z47:AI47,PVO!A$17),ETAPP!A$1:A$32,0))&amp;INDEX(ETAPP!B$1:B$32,MATCH(COUNTIF(Z47:AI47,PVO!A$18),ETAPP!A$1:A$32,0))&amp;INDEX(ETAPP!B$1:B$32,MATCH(COUNTIF(Z47:AI47,PVO!A$19),ETAPP!A$1:A$32,0))</f>
        <v>000000A000000000000</v>
      </c>
      <c r="T47" s="351" t="str">
        <f t="shared" si="47"/>
        <v>014,0-000000A000000000000</v>
      </c>
      <c r="U47" s="351">
        <f t="shared" si="48"/>
        <v>41</v>
      </c>
      <c r="V47" s="351">
        <f t="shared" si="49"/>
        <v>23</v>
      </c>
      <c r="W47" s="351" t="str">
        <f t="shared" si="50"/>
        <v>014,0-000000A000000000000-023</v>
      </c>
      <c r="X47" s="351">
        <f t="shared" si="51"/>
        <v>41</v>
      </c>
      <c r="Y47" s="352">
        <f t="shared" si="52"/>
        <v>12</v>
      </c>
      <c r="Z47" s="353" t="str">
        <f>IFERROR(INDEX('V1'!C$300:C$400,MATCH("*"&amp;L47&amp;"*",'V1'!B$300:B$400,0)),"  ")</f>
        <v xml:space="preserve">  </v>
      </c>
      <c r="AA47" s="353" t="str">
        <f>IFERROR(INDEX('V2'!C$300:C$395,MATCH("*"&amp;L47&amp;"*",'V2'!B$300:B$395,0)),"  ")</f>
        <v xml:space="preserve">  </v>
      </c>
      <c r="AB47" s="353" t="str">
        <f>IFERROR(INDEX('V3'!C$300:C$400,MATCH("*"&amp;L47&amp;"*",'V3'!B$300:B$400,0)),"  ")</f>
        <v xml:space="preserve">  </v>
      </c>
      <c r="AC47" s="353" t="str">
        <f>IFERROR(INDEX('V4'!C$300:C$400,MATCH("*"&amp;L47&amp;"*",'V4'!B$300:B$400,0)),"  ")</f>
        <v xml:space="preserve">  </v>
      </c>
      <c r="AD47" s="353" t="str">
        <f>IFERROR(INDEX('V5'!C$300:C$400,MATCH("*"&amp;L47&amp;"*",'V5'!B$300:B$400,0)),"  ")</f>
        <v xml:space="preserve">  </v>
      </c>
      <c r="AE47" s="353" t="str">
        <f>IFERROR(INDEX('V6'!C$300:C$400,MATCH("*"&amp;L47&amp;"*",'V6'!B$300:B$400,0)),"  ")</f>
        <v xml:space="preserve">  </v>
      </c>
      <c r="AF47" s="353" t="str">
        <f>IFERROR(INDEX('V7'!C$300:C$400,MATCH("*"&amp;L47&amp;"*",'V7'!B$300:B$400,0)),"  ")</f>
        <v xml:space="preserve">  </v>
      </c>
      <c r="AG47" s="353">
        <f>IFERROR(INDEX('V8'!C$300:C$400,MATCH("*"&amp;L47&amp;"*",'V8'!B$300:B$400,0)),"  ")</f>
        <v>14</v>
      </c>
      <c r="AH47" s="353" t="str">
        <f>IFERROR(INDEX('V9'!C$300:C$400,MATCH("*"&amp;L47&amp;"*",'V9'!B$300:B$400,0)),"  ")</f>
        <v xml:space="preserve">  </v>
      </c>
      <c r="AI47" s="353" t="str">
        <f>IFERROR(INDEX('V10'!C$300:C$400,MATCH("*"&amp;L47&amp;"*",'V10'!B$300:B$400,0)),"  ")</f>
        <v xml:space="preserve">  </v>
      </c>
      <c r="AJ47" s="354">
        <f t="shared" si="53"/>
        <v>0</v>
      </c>
      <c r="AK47" s="354" t="str">
        <f t="shared" si="54"/>
        <v/>
      </c>
      <c r="AL47" s="355">
        <f t="shared" si="55"/>
        <v>40</v>
      </c>
      <c r="AM47" s="356" t="str">
        <f>IFERROR(INDEX(#REF!,MATCH("*"&amp;L47&amp;"*",#REF!,0)),"  ")</f>
        <v xml:space="preserve">  </v>
      </c>
      <c r="AN47" s="357">
        <f t="shared" si="56"/>
        <v>1</v>
      </c>
      <c r="AO47" s="358">
        <f t="shared" si="57"/>
        <v>0</v>
      </c>
      <c r="AP47" s="358">
        <f t="shared" si="58"/>
        <v>0</v>
      </c>
      <c r="AQ47" s="267"/>
      <c r="AR47" s="359"/>
      <c r="AS47" s="360"/>
      <c r="AT47" s="360"/>
      <c r="AU47" s="360"/>
      <c r="AV47" s="360"/>
      <c r="AW47" s="359">
        <f t="shared" si="59"/>
        <v>1E-4</v>
      </c>
      <c r="AX47" s="360">
        <f t="shared" si="60"/>
        <v>1E-4</v>
      </c>
      <c r="AY47" s="360">
        <f t="shared" si="61"/>
        <v>2.0000000000000001E-4</v>
      </c>
      <c r="AZ47" s="360">
        <f t="shared" si="62"/>
        <v>2.9999999999999997E-4</v>
      </c>
      <c r="BA47" s="360">
        <f t="shared" si="63"/>
        <v>4.0000000000000002E-4</v>
      </c>
      <c r="BB47" s="360">
        <f t="shared" si="64"/>
        <v>5.0000000000000001E-4</v>
      </c>
      <c r="BC47" s="360">
        <f t="shared" si="65"/>
        <v>5.9999999999999995E-4</v>
      </c>
      <c r="BD47" s="360">
        <f t="shared" si="66"/>
        <v>6.9999999999999999E-4</v>
      </c>
      <c r="BE47" s="360">
        <f t="shared" si="67"/>
        <v>14.0008</v>
      </c>
      <c r="BF47" s="360">
        <f t="shared" si="68"/>
        <v>8.9999999999999998E-4</v>
      </c>
      <c r="BG47" s="360">
        <f t="shared" si="69"/>
        <v>1E-3</v>
      </c>
    </row>
    <row r="48" spans="1:59" x14ac:dyDescent="0.2">
      <c r="A48" s="337">
        <f t="shared" si="37"/>
        <v>26</v>
      </c>
      <c r="B48" s="338">
        <f t="shared" si="38"/>
        <v>43</v>
      </c>
      <c r="C48" s="339" t="str">
        <f t="shared" si="36"/>
        <v/>
      </c>
      <c r="D48" s="338">
        <f t="shared" si="39"/>
        <v>-957</v>
      </c>
      <c r="E48" s="340" t="str">
        <f t="shared" si="40"/>
        <v/>
      </c>
      <c r="F48" s="338">
        <f t="shared" si="41"/>
        <v>-957</v>
      </c>
      <c r="G48" s="341">
        <f t="shared" si="42"/>
        <v>11</v>
      </c>
      <c r="H48" s="338">
        <f t="shared" si="43"/>
        <v>43</v>
      </c>
      <c r="I48" s="342" t="str">
        <f t="shared" si="44"/>
        <v/>
      </c>
      <c r="J48" s="343">
        <f t="shared" si="45"/>
        <v>-957</v>
      </c>
      <c r="K48" s="302">
        <f t="shared" si="46"/>
        <v>42</v>
      </c>
      <c r="L48" s="361" t="s">
        <v>140</v>
      </c>
      <c r="M48" s="345" t="s">
        <v>119</v>
      </c>
      <c r="N48" s="346"/>
      <c r="O48" s="347"/>
      <c r="P48" s="348"/>
      <c r="Q48" s="349" t="s">
        <v>190</v>
      </c>
      <c r="R48" s="350">
        <f>(IF(COUNT(Z48,AA48,AB48,AC48,AD48,AE48,AF48,AG48,AH48,AI48)&lt;9,SUM(Z48,AA48,AB48,AC48,AD48,AE48,AF48,AG48,AH48,AI48),SUM(LARGE((Z48,AA48,AB48,AC48,AD48,AE48,AF48,AG48,AH48,AI48),{1;2;3;4;5;6;7;8;9}))))</f>
        <v>13</v>
      </c>
      <c r="S48" s="351" t="str">
        <f>INDEX(ETAPP!B$1:B$32,MATCH(COUNTIF(Z48:AI48,PVO!A$1),ETAPP!A$1:A$32,0))&amp;INDEX(ETAPP!B$1:B$32,MATCH(COUNTIF(Z48:AI48,PVO!A$2),ETAPP!A$1:A$32,0))&amp;INDEX(ETAPP!B$1:B$32,MATCH(COUNTIF(Z48:AI48,PVO!A$3),ETAPP!A$1:A$32,0))&amp;INDEX(ETAPP!B$1:B$32,MATCH(COUNTIF(Z48:AI48,PVO!A$4),ETAPP!A$1:A$32,0))&amp;INDEX(ETAPP!B$1:B$32,MATCH(COUNTIF(Z48:AI48,PVO!A$5),ETAPP!A$1:A$32,0))&amp;INDEX(ETAPP!B$1:B$32,MATCH(COUNTIF(Z48:AI48,PVO!A$6),ETAPP!A$1:A$32,0))&amp;INDEX(ETAPP!B$1:B$32,MATCH(COUNTIF(Z48:AI48,PVO!A$7),ETAPP!A$1:A$32,0))&amp;INDEX(ETAPP!B$1:B$32,MATCH(COUNTIF(Z48:AI48,PVO!A$8),ETAPP!A$1:A$32,0))&amp;INDEX(ETAPP!B$1:B$32,MATCH(COUNTIF(Z48:AI48,PVO!A$9),ETAPP!A$1:A$32,0))&amp;INDEX(ETAPP!B$1:B$32,MATCH(COUNTIF(Z48:AI48,PVO!A$10),ETAPP!A$1:A$32,0))&amp;INDEX(ETAPP!B$1:B$32,MATCH(COUNTIF(Z48:AI48,PVO!A$11),ETAPP!A$1:A$32,0))&amp;INDEX(ETAPP!B$1:B$32,MATCH(COUNTIF(Z48:AI48,PVO!A$12),ETAPP!A$1:A$32,0))&amp;INDEX(ETAPP!B$1:B$32,MATCH(COUNTIF(Z48:AI48,PVO!A$13),ETAPP!A$1:A$32,0))&amp;INDEX(ETAPP!B$1:B$32,MATCH(COUNTIF(Z48:AI48,PVO!A$14),ETAPP!A$1:A$32,0))&amp;INDEX(ETAPP!B$1:B$32,MATCH(COUNTIF(Z48:AI48,PVO!A$15),ETAPP!A$1:A$32,0))&amp;INDEX(ETAPP!B$1:B$32,MATCH(COUNTIF(Z48:AI48,PVO!A$16),ETAPP!A$1:A$32,0))&amp;INDEX(ETAPP!B$1:B$32,MATCH(COUNTIF(Z48:AI48,PVO!A$17),ETAPP!A$1:A$32,0))&amp;INDEX(ETAPP!B$1:B$32,MATCH(COUNTIF(Z48:AI48,PVO!A$18),ETAPP!A$1:A$32,0))&amp;INDEX(ETAPP!B$1:B$32,MATCH(COUNTIF(Z48:AI48,PVO!A$19),ETAPP!A$1:A$32,0))</f>
        <v>0000000A00000000000</v>
      </c>
      <c r="T48" s="351" t="str">
        <f t="shared" si="47"/>
        <v>013,0-0000000A00000000000</v>
      </c>
      <c r="U48" s="351">
        <f t="shared" si="48"/>
        <v>43</v>
      </c>
      <c r="V48" s="351">
        <f t="shared" si="49"/>
        <v>28</v>
      </c>
      <c r="W48" s="351" t="str">
        <f t="shared" si="50"/>
        <v>013,0-0000000A00000000000-028</v>
      </c>
      <c r="X48" s="351">
        <f t="shared" si="51"/>
        <v>42</v>
      </c>
      <c r="Y48" s="352">
        <f t="shared" si="52"/>
        <v>11</v>
      </c>
      <c r="Z48" s="353" t="str">
        <f>IFERROR(INDEX('V1'!C$300:C$400,MATCH("*"&amp;L48&amp;"*",'V1'!B$300:B$400,0)),"  ")</f>
        <v xml:space="preserve">  </v>
      </c>
      <c r="AA48" s="353" t="str">
        <f>IFERROR(INDEX('V2'!C$300:C$395,MATCH("*"&amp;L48&amp;"*",'V2'!B$300:B$395,0)),"  ")</f>
        <v xml:space="preserve">  </v>
      </c>
      <c r="AB48" s="353" t="str">
        <f>IFERROR(INDEX('V3'!C$300:C$400,MATCH("*"&amp;L48&amp;"*",'V3'!B$300:B$400,0)),"  ")</f>
        <v xml:space="preserve">  </v>
      </c>
      <c r="AC48" s="353" t="str">
        <f>IFERROR(INDEX('V4'!C$300:C$400,MATCH("*"&amp;L48&amp;"*",'V4'!B$300:B$400,0)),"  ")</f>
        <v xml:space="preserve">  </v>
      </c>
      <c r="AD48" s="353" t="str">
        <f>IFERROR(INDEX('V5'!C$300:C$400,MATCH("*"&amp;L48&amp;"*",'V5'!B$300:B$400,0)),"  ")</f>
        <v xml:space="preserve">  </v>
      </c>
      <c r="AE48" s="353">
        <f>IFERROR(INDEX('V6'!C$300:C$400,MATCH("*"&amp;L48&amp;"*",'V6'!B$300:B$400,0)),"  ")</f>
        <v>13</v>
      </c>
      <c r="AF48" s="353" t="str">
        <f>IFERROR(INDEX('V7'!C$300:C$400,MATCH("*"&amp;L48&amp;"*",'V7'!B$300:B$400,0)),"  ")</f>
        <v xml:space="preserve">  </v>
      </c>
      <c r="AG48" s="353" t="str">
        <f>IFERROR(INDEX('V8'!C$300:C$400,MATCH("*"&amp;L48&amp;"*",'V8'!B$300:B$400,0)),"  ")</f>
        <v xml:space="preserve">  </v>
      </c>
      <c r="AH48" s="353" t="str">
        <f>IFERROR(INDEX('V9'!C$300:C$400,MATCH("*"&amp;L48&amp;"*",'V9'!B$300:B$400,0)),"  ")</f>
        <v xml:space="preserve">  </v>
      </c>
      <c r="AI48" s="353" t="str">
        <f>IFERROR(INDEX('V10'!C$300:C$400,MATCH("*"&amp;L48&amp;"*",'V10'!B$300:B$400,0)),"  ")</f>
        <v xml:space="preserve">  </v>
      </c>
      <c r="AJ48" s="354">
        <f t="shared" si="53"/>
        <v>0</v>
      </c>
      <c r="AK48" s="354" t="str">
        <f t="shared" si="54"/>
        <v/>
      </c>
      <c r="AL48" s="355">
        <f t="shared" si="55"/>
        <v>42</v>
      </c>
      <c r="AM48" s="356" t="str">
        <f>IFERROR(INDEX(#REF!,MATCH("*"&amp;L48&amp;"*",#REF!,0)),"  ")</f>
        <v xml:space="preserve">  </v>
      </c>
      <c r="AN48" s="357">
        <f t="shared" si="56"/>
        <v>1</v>
      </c>
      <c r="AO48" s="358">
        <f t="shared" si="57"/>
        <v>0</v>
      </c>
      <c r="AP48" s="358">
        <f t="shared" si="58"/>
        <v>0</v>
      </c>
      <c r="AQ48" s="267"/>
      <c r="AR48" s="359"/>
      <c r="AS48" s="360"/>
      <c r="AT48" s="360"/>
      <c r="AU48" s="360"/>
      <c r="AV48" s="360"/>
      <c r="AW48" s="359">
        <f t="shared" si="59"/>
        <v>1E-4</v>
      </c>
      <c r="AX48" s="360">
        <f t="shared" si="60"/>
        <v>1E-4</v>
      </c>
      <c r="AY48" s="360">
        <f t="shared" si="61"/>
        <v>2.0000000000000001E-4</v>
      </c>
      <c r="AZ48" s="360">
        <f t="shared" si="62"/>
        <v>2.9999999999999997E-4</v>
      </c>
      <c r="BA48" s="360">
        <f t="shared" si="63"/>
        <v>4.0000000000000002E-4</v>
      </c>
      <c r="BB48" s="360">
        <f t="shared" si="64"/>
        <v>5.0000000000000001E-4</v>
      </c>
      <c r="BC48" s="360">
        <f t="shared" si="65"/>
        <v>13.0006</v>
      </c>
      <c r="BD48" s="360">
        <f t="shared" si="66"/>
        <v>6.9999999999999999E-4</v>
      </c>
      <c r="BE48" s="360">
        <f t="shared" si="67"/>
        <v>8.0000000000000004E-4</v>
      </c>
      <c r="BF48" s="360">
        <f t="shared" si="68"/>
        <v>8.9999999999999998E-4</v>
      </c>
      <c r="BG48" s="360">
        <f t="shared" si="69"/>
        <v>1E-3</v>
      </c>
    </row>
    <row r="49" spans="1:59" x14ac:dyDescent="0.2">
      <c r="A49" s="337" t="str">
        <f t="shared" si="37"/>
        <v/>
      </c>
      <c r="B49" s="338">
        <f t="shared" si="38"/>
        <v>-957</v>
      </c>
      <c r="C49" s="339" t="str">
        <f t="shared" si="36"/>
        <v/>
      </c>
      <c r="D49" s="338">
        <f t="shared" si="39"/>
        <v>-957</v>
      </c>
      <c r="E49" s="340">
        <f t="shared" si="40"/>
        <v>32</v>
      </c>
      <c r="F49" s="338">
        <f t="shared" si="41"/>
        <v>43</v>
      </c>
      <c r="G49" s="341" t="str">
        <f t="shared" si="42"/>
        <v/>
      </c>
      <c r="H49" s="338">
        <f t="shared" si="43"/>
        <v>-957</v>
      </c>
      <c r="I49" s="342" t="str">
        <f t="shared" si="44"/>
        <v/>
      </c>
      <c r="J49" s="343">
        <f t="shared" si="45"/>
        <v>-957</v>
      </c>
      <c r="K49" s="302">
        <f t="shared" si="46"/>
        <v>42</v>
      </c>
      <c r="L49" s="361" t="s">
        <v>519</v>
      </c>
      <c r="M49" s="345"/>
      <c r="N49" s="346" t="s">
        <v>192</v>
      </c>
      <c r="O49" s="347"/>
      <c r="P49" s="348"/>
      <c r="Q49" s="349"/>
      <c r="R49" s="350">
        <f>(IF(COUNT(Z49,AA49,AB49,AC49,AD49,AE49,AF49,AG49,AH49,AI49)&lt;9,SUM(Z49,AA49,AB49,AC49,AD49,AE49,AF49,AG49,AH49,AI49),SUM(LARGE((Z49,AA49,AB49,AC49,AD49,AE49,AF49,AG49,AH49,AI49),{1;2;3;4;5;6;7;8;9}))))</f>
        <v>13</v>
      </c>
      <c r="S49" s="351" t="str">
        <f>INDEX(ETAPP!B$1:B$32,MATCH(COUNTIF(Z49:AI49,PVO!A$1),ETAPP!A$1:A$32,0))&amp;INDEX(ETAPP!B$1:B$32,MATCH(COUNTIF(Z49:AI49,PVO!A$2),ETAPP!A$1:A$32,0))&amp;INDEX(ETAPP!B$1:B$32,MATCH(COUNTIF(Z49:AI49,PVO!A$3),ETAPP!A$1:A$32,0))&amp;INDEX(ETAPP!B$1:B$32,MATCH(COUNTIF(Z49:AI49,PVO!A$4),ETAPP!A$1:A$32,0))&amp;INDEX(ETAPP!B$1:B$32,MATCH(COUNTIF(Z49:AI49,PVO!A$5),ETAPP!A$1:A$32,0))&amp;INDEX(ETAPP!B$1:B$32,MATCH(COUNTIF(Z49:AI49,PVO!A$6),ETAPP!A$1:A$32,0))&amp;INDEX(ETAPP!B$1:B$32,MATCH(COUNTIF(Z49:AI49,PVO!A$7),ETAPP!A$1:A$32,0))&amp;INDEX(ETAPP!B$1:B$32,MATCH(COUNTIF(Z49:AI49,PVO!A$8),ETAPP!A$1:A$32,0))&amp;INDEX(ETAPP!B$1:B$32,MATCH(COUNTIF(Z49:AI49,PVO!A$9),ETAPP!A$1:A$32,0))&amp;INDEX(ETAPP!B$1:B$32,MATCH(COUNTIF(Z49:AI49,PVO!A$10),ETAPP!A$1:A$32,0))&amp;INDEX(ETAPP!B$1:B$32,MATCH(COUNTIF(Z49:AI49,PVO!A$11),ETAPP!A$1:A$32,0))&amp;INDEX(ETAPP!B$1:B$32,MATCH(COUNTIF(Z49:AI49,PVO!A$12),ETAPP!A$1:A$32,0))&amp;INDEX(ETAPP!B$1:B$32,MATCH(COUNTIF(Z49:AI49,PVO!A$13),ETAPP!A$1:A$32,0))&amp;INDEX(ETAPP!B$1:B$32,MATCH(COUNTIF(Z49:AI49,PVO!A$14),ETAPP!A$1:A$32,0))&amp;INDEX(ETAPP!B$1:B$32,MATCH(COUNTIF(Z49:AI49,PVO!A$15),ETAPP!A$1:A$32,0))&amp;INDEX(ETAPP!B$1:B$32,MATCH(COUNTIF(Z49:AI49,PVO!A$16),ETAPP!A$1:A$32,0))&amp;INDEX(ETAPP!B$1:B$32,MATCH(COUNTIF(Z49:AI49,PVO!A$17),ETAPP!A$1:A$32,0))&amp;INDEX(ETAPP!B$1:B$32,MATCH(COUNTIF(Z49:AI49,PVO!A$18),ETAPP!A$1:A$32,0))&amp;INDEX(ETAPP!B$1:B$32,MATCH(COUNTIF(Z49:AI49,PVO!A$19),ETAPP!A$1:A$32,0))</f>
        <v>0000000A00000000000</v>
      </c>
      <c r="T49" s="351" t="str">
        <f t="shared" si="47"/>
        <v>013,0-0000000A00000000000</v>
      </c>
      <c r="U49" s="351">
        <f t="shared" si="48"/>
        <v>43</v>
      </c>
      <c r="V49" s="351">
        <f t="shared" si="49"/>
        <v>15</v>
      </c>
      <c r="W49" s="351" t="str">
        <f t="shared" si="50"/>
        <v>013,0-0000000A00000000000-015</v>
      </c>
      <c r="X49" s="351">
        <f t="shared" si="51"/>
        <v>43</v>
      </c>
      <c r="Y49" s="352">
        <f t="shared" si="52"/>
        <v>10</v>
      </c>
      <c r="Z49" s="353" t="str">
        <f>IFERROR(INDEX('V1'!C$300:C$400,MATCH("*"&amp;L49&amp;"*",'V1'!B$300:B$400,0)),"  ")</f>
        <v xml:space="preserve">  </v>
      </c>
      <c r="AA49" s="353" t="str">
        <f>IFERROR(INDEX('V2'!C$300:C$395,MATCH("*"&amp;L49&amp;"*",'V2'!B$300:B$395,0)),"  ")</f>
        <v xml:space="preserve">  </v>
      </c>
      <c r="AB49" s="353" t="str">
        <f>IFERROR(INDEX('V3'!C$300:C$400,MATCH("*"&amp;L49&amp;"*",'V3'!B$300:B$400,0)),"  ")</f>
        <v xml:space="preserve">  </v>
      </c>
      <c r="AC49" s="353" t="str">
        <f>IFERROR(INDEX('V4'!C$300:C$400,MATCH("*"&amp;L49&amp;"*",'V4'!B$300:B$400,0)),"  ")</f>
        <v xml:space="preserve">  </v>
      </c>
      <c r="AD49" s="353" t="str">
        <f>IFERROR(INDEX('V5'!C$300:C$400,MATCH("*"&amp;L49&amp;"*",'V5'!B$300:B$400,0)),"  ")</f>
        <v xml:space="preserve">  </v>
      </c>
      <c r="AE49" s="353" t="str">
        <f>IFERROR(INDEX('V6'!C$300:C$400,MATCH("*"&amp;L49&amp;"*",'V6'!B$300:B$400,0)),"  ")</f>
        <v xml:space="preserve">  </v>
      </c>
      <c r="AF49" s="353">
        <f>IFERROR(INDEX('V7'!C$300:C$400,MATCH("*"&amp;L49&amp;"*",'V7'!B$300:B$400,0)),"  ")</f>
        <v>13</v>
      </c>
      <c r="AG49" s="353" t="str">
        <f>IFERROR(INDEX('V8'!C$300:C$400,MATCH("*"&amp;L49&amp;"*",'V8'!B$300:B$400,0)),"  ")</f>
        <v xml:space="preserve">  </v>
      </c>
      <c r="AH49" s="353" t="str">
        <f>IFERROR(INDEX('V9'!C$300:C$400,MATCH("*"&amp;L49&amp;"*",'V9'!B$300:B$400,0)),"  ")</f>
        <v xml:space="preserve">  </v>
      </c>
      <c r="AI49" s="353" t="str">
        <f>IFERROR(INDEX('V10'!C$300:C$400,MATCH("*"&amp;L49&amp;"*",'V10'!B$300:B$400,0)),"  ")</f>
        <v xml:space="preserve">  </v>
      </c>
      <c r="AJ49" s="354">
        <f t="shared" si="53"/>
        <v>0</v>
      </c>
      <c r="AK49" s="354" t="str">
        <f t="shared" si="54"/>
        <v/>
      </c>
      <c r="AL49" s="355">
        <f t="shared" si="55"/>
        <v>42</v>
      </c>
      <c r="AM49" s="356" t="str">
        <f>IFERROR(INDEX(#REF!,MATCH("*"&amp;L49&amp;"*",#REF!,0)),"  ")</f>
        <v xml:space="preserve">  </v>
      </c>
      <c r="AN49" s="357">
        <f t="shared" si="56"/>
        <v>1</v>
      </c>
      <c r="AO49" s="358">
        <f t="shared" si="57"/>
        <v>0</v>
      </c>
      <c r="AP49" s="358">
        <f t="shared" si="58"/>
        <v>0</v>
      </c>
      <c r="AQ49" s="267"/>
      <c r="AR49" s="359"/>
      <c r="AS49" s="360"/>
      <c r="AT49" s="360"/>
      <c r="AU49" s="360"/>
      <c r="AV49" s="360"/>
      <c r="AW49" s="359">
        <f t="shared" si="59"/>
        <v>1E-4</v>
      </c>
      <c r="AX49" s="360">
        <f t="shared" si="60"/>
        <v>1E-4</v>
      </c>
      <c r="AY49" s="360">
        <f t="shared" si="61"/>
        <v>2.0000000000000001E-4</v>
      </c>
      <c r="AZ49" s="360">
        <f t="shared" si="62"/>
        <v>2.9999999999999997E-4</v>
      </c>
      <c r="BA49" s="360">
        <f t="shared" si="63"/>
        <v>4.0000000000000002E-4</v>
      </c>
      <c r="BB49" s="360">
        <f t="shared" si="64"/>
        <v>5.0000000000000001E-4</v>
      </c>
      <c r="BC49" s="360">
        <f t="shared" si="65"/>
        <v>5.9999999999999995E-4</v>
      </c>
      <c r="BD49" s="360">
        <f t="shared" si="66"/>
        <v>13.0007</v>
      </c>
      <c r="BE49" s="360">
        <f t="shared" si="67"/>
        <v>8.0000000000000004E-4</v>
      </c>
      <c r="BF49" s="360">
        <f t="shared" si="68"/>
        <v>8.9999999999999998E-4</v>
      </c>
      <c r="BG49" s="360">
        <f t="shared" si="69"/>
        <v>1E-3</v>
      </c>
    </row>
    <row r="50" spans="1:59" x14ac:dyDescent="0.2">
      <c r="A50" s="337" t="str">
        <f t="shared" si="37"/>
        <v/>
      </c>
      <c r="B50" s="338">
        <f t="shared" si="38"/>
        <v>-955</v>
      </c>
      <c r="C50" s="339" t="str">
        <f t="shared" si="36"/>
        <v/>
      </c>
      <c r="D50" s="338">
        <f t="shared" si="39"/>
        <v>-955</v>
      </c>
      <c r="E50" s="340">
        <f t="shared" si="40"/>
        <v>33</v>
      </c>
      <c r="F50" s="338">
        <f t="shared" si="41"/>
        <v>45</v>
      </c>
      <c r="G50" s="341" t="str">
        <f t="shared" si="42"/>
        <v/>
      </c>
      <c r="H50" s="338">
        <f t="shared" si="43"/>
        <v>-955</v>
      </c>
      <c r="I50" s="342" t="str">
        <f t="shared" si="44"/>
        <v/>
      </c>
      <c r="J50" s="343">
        <f t="shared" si="45"/>
        <v>-955</v>
      </c>
      <c r="K50" s="302">
        <f t="shared" si="46"/>
        <v>44</v>
      </c>
      <c r="L50" s="361" t="s">
        <v>150</v>
      </c>
      <c r="M50" s="345"/>
      <c r="N50" s="346" t="s">
        <v>192</v>
      </c>
      <c r="O50" s="347"/>
      <c r="P50" s="348"/>
      <c r="Q50" s="349"/>
      <c r="R50" s="350">
        <f>(IF(COUNT(Z50,AA50,AB50,AC50,AD50,AE50,AF50,AG50,AH50,AI50)&lt;9,SUM(Z50,AA50,AB50,AC50,AD50,AE50,AF50,AG50,AH50,AI50),SUM(LARGE((Z50,AA50,AB50,AC50,AD50,AE50,AF50,AG50,AH50,AI50),{1;2;3;4;5;6;7;8;9}))))</f>
        <v>11</v>
      </c>
      <c r="S50" s="351" t="str">
        <f>INDEX(ETAPP!B$1:B$32,MATCH(COUNTIF(Z50:AI50,PVO!A$1),ETAPP!A$1:A$32,0))&amp;INDEX(ETAPP!B$1:B$32,MATCH(COUNTIF(Z50:AI50,PVO!A$2),ETAPP!A$1:A$32,0))&amp;INDEX(ETAPP!B$1:B$32,MATCH(COUNTIF(Z50:AI50,PVO!A$3),ETAPP!A$1:A$32,0))&amp;INDEX(ETAPP!B$1:B$32,MATCH(COUNTIF(Z50:AI50,PVO!A$4),ETAPP!A$1:A$32,0))&amp;INDEX(ETAPP!B$1:B$32,MATCH(COUNTIF(Z50:AI50,PVO!A$5),ETAPP!A$1:A$32,0))&amp;INDEX(ETAPP!B$1:B$32,MATCH(COUNTIF(Z50:AI50,PVO!A$6),ETAPP!A$1:A$32,0))&amp;INDEX(ETAPP!B$1:B$32,MATCH(COUNTIF(Z50:AI50,PVO!A$7),ETAPP!A$1:A$32,0))&amp;INDEX(ETAPP!B$1:B$32,MATCH(COUNTIF(Z50:AI50,PVO!A$8),ETAPP!A$1:A$32,0))&amp;INDEX(ETAPP!B$1:B$32,MATCH(COUNTIF(Z50:AI50,PVO!A$9),ETAPP!A$1:A$32,0))&amp;INDEX(ETAPP!B$1:B$32,MATCH(COUNTIF(Z50:AI50,PVO!A$10),ETAPP!A$1:A$32,0))&amp;INDEX(ETAPP!B$1:B$32,MATCH(COUNTIF(Z50:AI50,PVO!A$11),ETAPP!A$1:A$32,0))&amp;INDEX(ETAPP!B$1:B$32,MATCH(COUNTIF(Z50:AI50,PVO!A$12),ETAPP!A$1:A$32,0))&amp;INDEX(ETAPP!B$1:B$32,MATCH(COUNTIF(Z50:AI50,PVO!A$13),ETAPP!A$1:A$32,0))&amp;INDEX(ETAPP!B$1:B$32,MATCH(COUNTIF(Z50:AI50,PVO!A$14),ETAPP!A$1:A$32,0))&amp;INDEX(ETAPP!B$1:B$32,MATCH(COUNTIF(Z50:AI50,PVO!A$15),ETAPP!A$1:A$32,0))&amp;INDEX(ETAPP!B$1:B$32,MATCH(COUNTIF(Z50:AI50,PVO!A$16),ETAPP!A$1:A$32,0))&amp;INDEX(ETAPP!B$1:B$32,MATCH(COUNTIF(Z50:AI50,PVO!A$17),ETAPP!A$1:A$32,0))&amp;INDEX(ETAPP!B$1:B$32,MATCH(COUNTIF(Z50:AI50,PVO!A$18),ETAPP!A$1:A$32,0))&amp;INDEX(ETAPP!B$1:B$32,MATCH(COUNTIF(Z50:AI50,PVO!A$19),ETAPP!A$1:A$32,0))</f>
        <v>000000000A000000000</v>
      </c>
      <c r="T50" s="351" t="str">
        <f t="shared" si="47"/>
        <v>011,0-000000000A000000000</v>
      </c>
      <c r="U50" s="351">
        <f t="shared" si="48"/>
        <v>45</v>
      </c>
      <c r="V50" s="351">
        <f t="shared" si="49"/>
        <v>26</v>
      </c>
      <c r="W50" s="351" t="str">
        <f t="shared" si="50"/>
        <v>011,0-000000000A000000000-026</v>
      </c>
      <c r="X50" s="351">
        <f t="shared" si="51"/>
        <v>44</v>
      </c>
      <c r="Y50" s="352">
        <f t="shared" si="52"/>
        <v>9</v>
      </c>
      <c r="Z50" s="353" t="str">
        <f>IFERROR(INDEX('V1'!C$300:C$400,MATCH("*"&amp;L50&amp;"*",'V1'!B$300:B$400,0)),"  ")</f>
        <v xml:space="preserve">  </v>
      </c>
      <c r="AA50" s="353">
        <f>IFERROR(INDEX('V2'!C$300:C$395,MATCH("*"&amp;L50&amp;"*",'V2'!B$300:B$395,0)),"  ")</f>
        <v>11</v>
      </c>
      <c r="AB50" s="353" t="str">
        <f>IFERROR(INDEX('V3'!C$300:C$400,MATCH("*"&amp;L50&amp;"*",'V3'!B$300:B$400,0)),"  ")</f>
        <v xml:space="preserve">  </v>
      </c>
      <c r="AC50" s="353" t="str">
        <f>IFERROR(INDEX('V4'!C$300:C$400,MATCH("*"&amp;L50&amp;"*",'V4'!B$300:B$400,0)),"  ")</f>
        <v xml:space="preserve">  </v>
      </c>
      <c r="AD50" s="353" t="str">
        <f>IFERROR(INDEX('V5'!C$300:C$400,MATCH("*"&amp;L50&amp;"*",'V5'!B$300:B$400,0)),"  ")</f>
        <v xml:space="preserve">  </v>
      </c>
      <c r="AE50" s="353" t="str">
        <f>IFERROR(INDEX('V6'!C$300:C$400,MATCH("*"&amp;L50&amp;"*",'V6'!B$300:B$400,0)),"  ")</f>
        <v xml:space="preserve">  </v>
      </c>
      <c r="AF50" s="353" t="str">
        <f>IFERROR(INDEX('V7'!C$300:C$400,MATCH("*"&amp;L50&amp;"*",'V7'!B$300:B$400,0)),"  ")</f>
        <v xml:space="preserve">  </v>
      </c>
      <c r="AG50" s="353" t="str">
        <f>IFERROR(INDEX('V8'!C$300:C$400,MATCH("*"&amp;L50&amp;"*",'V8'!B$300:B$400,0)),"  ")</f>
        <v xml:space="preserve">  </v>
      </c>
      <c r="AH50" s="353" t="str">
        <f>IFERROR(INDEX('V9'!C$300:C$400,MATCH("*"&amp;L50&amp;"*",'V9'!B$300:B$400,0)),"  ")</f>
        <v xml:space="preserve">  </v>
      </c>
      <c r="AI50" s="353" t="str">
        <f>IFERROR(INDEX('V10'!C$300:C$400,MATCH("*"&amp;L50&amp;"*",'V10'!B$300:B$400,0)),"  ")</f>
        <v xml:space="preserve">  </v>
      </c>
      <c r="AJ50" s="354">
        <f t="shared" si="53"/>
        <v>0</v>
      </c>
      <c r="AK50" s="354" t="str">
        <f t="shared" si="54"/>
        <v/>
      </c>
      <c r="AL50" s="355">
        <f t="shared" si="55"/>
        <v>44</v>
      </c>
      <c r="AM50" s="356" t="str">
        <f>IFERROR(INDEX(#REF!,MATCH("*"&amp;L50&amp;"*",#REF!,0)),"  ")</f>
        <v xml:space="preserve">  </v>
      </c>
      <c r="AN50" s="357">
        <f t="shared" si="56"/>
        <v>1</v>
      </c>
      <c r="AO50" s="358">
        <f t="shared" si="57"/>
        <v>0</v>
      </c>
      <c r="AP50" s="358">
        <f t="shared" si="58"/>
        <v>0</v>
      </c>
      <c r="AQ50" s="267"/>
      <c r="AR50" s="359"/>
      <c r="AS50" s="360"/>
      <c r="AT50" s="360"/>
      <c r="AU50" s="360"/>
      <c r="AV50" s="360"/>
      <c r="AW50" s="359">
        <f t="shared" si="59"/>
        <v>1E-4</v>
      </c>
      <c r="AX50" s="360">
        <f t="shared" si="60"/>
        <v>1E-4</v>
      </c>
      <c r="AY50" s="360">
        <f t="shared" si="61"/>
        <v>11.0002</v>
      </c>
      <c r="AZ50" s="360">
        <f t="shared" si="62"/>
        <v>2.9999999999999997E-4</v>
      </c>
      <c r="BA50" s="360">
        <f t="shared" si="63"/>
        <v>4.0000000000000002E-4</v>
      </c>
      <c r="BB50" s="360">
        <f t="shared" si="64"/>
        <v>5.0000000000000001E-4</v>
      </c>
      <c r="BC50" s="360">
        <f t="shared" si="65"/>
        <v>5.9999999999999995E-4</v>
      </c>
      <c r="BD50" s="360">
        <f t="shared" si="66"/>
        <v>6.9999999999999999E-4</v>
      </c>
      <c r="BE50" s="360">
        <f t="shared" si="67"/>
        <v>8.0000000000000004E-4</v>
      </c>
      <c r="BF50" s="360">
        <f t="shared" si="68"/>
        <v>8.9999999999999998E-4</v>
      </c>
      <c r="BG50" s="360">
        <f t="shared" si="69"/>
        <v>1E-3</v>
      </c>
    </row>
    <row r="51" spans="1:59" x14ac:dyDescent="0.2">
      <c r="A51" s="337" t="str">
        <f t="shared" si="37"/>
        <v/>
      </c>
      <c r="B51" s="338">
        <f t="shared" si="38"/>
        <v>-955</v>
      </c>
      <c r="C51" s="339" t="str">
        <f t="shared" si="36"/>
        <v/>
      </c>
      <c r="D51" s="338">
        <f t="shared" si="39"/>
        <v>-955</v>
      </c>
      <c r="E51" s="340">
        <f t="shared" si="40"/>
        <v>33</v>
      </c>
      <c r="F51" s="338">
        <f t="shared" si="41"/>
        <v>45</v>
      </c>
      <c r="G51" s="341" t="str">
        <f t="shared" si="42"/>
        <v/>
      </c>
      <c r="H51" s="338">
        <f t="shared" si="43"/>
        <v>-955</v>
      </c>
      <c r="I51" s="342" t="str">
        <f t="shared" si="44"/>
        <v/>
      </c>
      <c r="J51" s="343">
        <f t="shared" si="45"/>
        <v>-955</v>
      </c>
      <c r="K51" s="302">
        <f t="shared" si="46"/>
        <v>44</v>
      </c>
      <c r="L51" s="361" t="s">
        <v>151</v>
      </c>
      <c r="M51" s="345"/>
      <c r="N51" s="346" t="s">
        <v>192</v>
      </c>
      <c r="O51" s="347"/>
      <c r="P51" s="348"/>
      <c r="Q51" s="349"/>
      <c r="R51" s="350">
        <f>(IF(COUNT(Z51,AA51,AB51,AC51,AD51,AE51,AF51,AG51,AH51,AI51)&lt;9,SUM(Z51,AA51,AB51,AC51,AD51,AE51,AF51,AG51,AH51,AI51),SUM(LARGE((Z51,AA51,AB51,AC51,AD51,AE51,AF51,AG51,AH51,AI51),{1;2;3;4;5;6;7;8;9}))))</f>
        <v>11</v>
      </c>
      <c r="S51" s="351" t="str">
        <f>INDEX(ETAPP!B$1:B$32,MATCH(COUNTIF(Z51:AI51,PVO!A$1),ETAPP!A$1:A$32,0))&amp;INDEX(ETAPP!B$1:B$32,MATCH(COUNTIF(Z51:AI51,PVO!A$2),ETAPP!A$1:A$32,0))&amp;INDEX(ETAPP!B$1:B$32,MATCH(COUNTIF(Z51:AI51,PVO!A$3),ETAPP!A$1:A$32,0))&amp;INDEX(ETAPP!B$1:B$32,MATCH(COUNTIF(Z51:AI51,PVO!A$4),ETAPP!A$1:A$32,0))&amp;INDEX(ETAPP!B$1:B$32,MATCH(COUNTIF(Z51:AI51,PVO!A$5),ETAPP!A$1:A$32,0))&amp;INDEX(ETAPP!B$1:B$32,MATCH(COUNTIF(Z51:AI51,PVO!A$6),ETAPP!A$1:A$32,0))&amp;INDEX(ETAPP!B$1:B$32,MATCH(COUNTIF(Z51:AI51,PVO!A$7),ETAPP!A$1:A$32,0))&amp;INDEX(ETAPP!B$1:B$32,MATCH(COUNTIF(Z51:AI51,PVO!A$8),ETAPP!A$1:A$32,0))&amp;INDEX(ETAPP!B$1:B$32,MATCH(COUNTIF(Z51:AI51,PVO!A$9),ETAPP!A$1:A$32,0))&amp;INDEX(ETAPP!B$1:B$32,MATCH(COUNTIF(Z51:AI51,PVO!A$10),ETAPP!A$1:A$32,0))&amp;INDEX(ETAPP!B$1:B$32,MATCH(COUNTIF(Z51:AI51,PVO!A$11),ETAPP!A$1:A$32,0))&amp;INDEX(ETAPP!B$1:B$32,MATCH(COUNTIF(Z51:AI51,PVO!A$12),ETAPP!A$1:A$32,0))&amp;INDEX(ETAPP!B$1:B$32,MATCH(COUNTIF(Z51:AI51,PVO!A$13),ETAPP!A$1:A$32,0))&amp;INDEX(ETAPP!B$1:B$32,MATCH(COUNTIF(Z51:AI51,PVO!A$14),ETAPP!A$1:A$32,0))&amp;INDEX(ETAPP!B$1:B$32,MATCH(COUNTIF(Z51:AI51,PVO!A$15),ETAPP!A$1:A$32,0))&amp;INDEX(ETAPP!B$1:B$32,MATCH(COUNTIF(Z51:AI51,PVO!A$16),ETAPP!A$1:A$32,0))&amp;INDEX(ETAPP!B$1:B$32,MATCH(COUNTIF(Z51:AI51,PVO!A$17),ETAPP!A$1:A$32,0))&amp;INDEX(ETAPP!B$1:B$32,MATCH(COUNTIF(Z51:AI51,PVO!A$18),ETAPP!A$1:A$32,0))&amp;INDEX(ETAPP!B$1:B$32,MATCH(COUNTIF(Z51:AI51,PVO!A$19),ETAPP!A$1:A$32,0))</f>
        <v>000000000A000000000</v>
      </c>
      <c r="T51" s="351" t="str">
        <f t="shared" si="47"/>
        <v>011,0-000000000A000000000</v>
      </c>
      <c r="U51" s="351">
        <f t="shared" si="48"/>
        <v>45</v>
      </c>
      <c r="V51" s="351">
        <f t="shared" si="49"/>
        <v>21</v>
      </c>
      <c r="W51" s="351" t="str">
        <f t="shared" si="50"/>
        <v>011,0-000000000A000000000-021</v>
      </c>
      <c r="X51" s="351">
        <f t="shared" si="51"/>
        <v>45</v>
      </c>
      <c r="Y51" s="352">
        <f t="shared" si="52"/>
        <v>8</v>
      </c>
      <c r="Z51" s="353" t="str">
        <f>IFERROR(INDEX('V1'!C$300:C$400,MATCH("*"&amp;L51&amp;"*",'V1'!B$300:B$400,0)),"  ")</f>
        <v xml:space="preserve">  </v>
      </c>
      <c r="AA51" s="353">
        <f>IFERROR(INDEX('V2'!C$300:C$395,MATCH("*"&amp;L51&amp;"*",'V2'!B$300:B$395,0)),"  ")</f>
        <v>11</v>
      </c>
      <c r="AB51" s="353" t="str">
        <f>IFERROR(INDEX('V3'!C$300:C$400,MATCH("*"&amp;L51&amp;"*",'V3'!B$300:B$400,0)),"  ")</f>
        <v xml:space="preserve">  </v>
      </c>
      <c r="AC51" s="353" t="str">
        <f>IFERROR(INDEX('V4'!C$300:C$400,MATCH("*"&amp;L51&amp;"*",'V4'!B$300:B$400,0)),"  ")</f>
        <v xml:space="preserve">  </v>
      </c>
      <c r="AD51" s="353" t="str">
        <f>IFERROR(INDEX('V5'!C$300:C$400,MATCH("*"&amp;L51&amp;"*",'V5'!B$300:B$400,0)),"  ")</f>
        <v xml:space="preserve">  </v>
      </c>
      <c r="AE51" s="353" t="str">
        <f>IFERROR(INDEX('V6'!C$300:C$400,MATCH("*"&amp;L51&amp;"*",'V6'!B$300:B$400,0)),"  ")</f>
        <v xml:space="preserve">  </v>
      </c>
      <c r="AF51" s="353" t="str">
        <f>IFERROR(INDEX('V7'!C$300:C$400,MATCH("*"&amp;L51&amp;"*",'V7'!B$300:B$400,0)),"  ")</f>
        <v xml:space="preserve">  </v>
      </c>
      <c r="AG51" s="353" t="str">
        <f>IFERROR(INDEX('V8'!C$300:C$400,MATCH("*"&amp;L51&amp;"*",'V8'!B$300:B$400,0)),"  ")</f>
        <v xml:space="preserve">  </v>
      </c>
      <c r="AH51" s="353" t="str">
        <f>IFERROR(INDEX('V9'!C$300:C$400,MATCH("*"&amp;L51&amp;"*",'V9'!B$300:B$400,0)),"  ")</f>
        <v xml:space="preserve">  </v>
      </c>
      <c r="AI51" s="353" t="str">
        <f>IFERROR(INDEX('V10'!C$300:C$400,MATCH("*"&amp;L51&amp;"*",'V10'!B$300:B$400,0)),"  ")</f>
        <v xml:space="preserve">  </v>
      </c>
      <c r="AJ51" s="354">
        <f t="shared" si="53"/>
        <v>0</v>
      </c>
      <c r="AK51" s="354" t="str">
        <f t="shared" si="54"/>
        <v/>
      </c>
      <c r="AL51" s="355">
        <f t="shared" si="55"/>
        <v>44</v>
      </c>
      <c r="AM51" s="356" t="str">
        <f>IFERROR(INDEX(#REF!,MATCH("*"&amp;L51&amp;"*",#REF!,0)),"  ")</f>
        <v xml:space="preserve">  </v>
      </c>
      <c r="AN51" s="357">
        <f t="shared" si="56"/>
        <v>1</v>
      </c>
      <c r="AO51" s="358">
        <f t="shared" si="57"/>
        <v>0</v>
      </c>
      <c r="AP51" s="358">
        <f t="shared" si="58"/>
        <v>0</v>
      </c>
      <c r="AQ51" s="267"/>
      <c r="AR51" s="359"/>
      <c r="AS51" s="360"/>
      <c r="AT51" s="360"/>
      <c r="AU51" s="360"/>
      <c r="AV51" s="360"/>
      <c r="AW51" s="359">
        <f t="shared" si="59"/>
        <v>1E-4</v>
      </c>
      <c r="AX51" s="360">
        <f t="shared" si="60"/>
        <v>1E-4</v>
      </c>
      <c r="AY51" s="360">
        <f t="shared" si="61"/>
        <v>11.0002</v>
      </c>
      <c r="AZ51" s="360">
        <f t="shared" si="62"/>
        <v>2.9999999999999997E-4</v>
      </c>
      <c r="BA51" s="360">
        <f t="shared" si="63"/>
        <v>4.0000000000000002E-4</v>
      </c>
      <c r="BB51" s="360">
        <f t="shared" si="64"/>
        <v>5.0000000000000001E-4</v>
      </c>
      <c r="BC51" s="360">
        <f t="shared" si="65"/>
        <v>5.9999999999999995E-4</v>
      </c>
      <c r="BD51" s="360">
        <f t="shared" si="66"/>
        <v>6.9999999999999999E-4</v>
      </c>
      <c r="BE51" s="360">
        <f t="shared" si="67"/>
        <v>8.0000000000000004E-4</v>
      </c>
      <c r="BF51" s="360">
        <f t="shared" si="68"/>
        <v>8.9999999999999998E-4</v>
      </c>
      <c r="BG51" s="360">
        <f t="shared" si="69"/>
        <v>1E-3</v>
      </c>
    </row>
    <row r="52" spans="1:59" x14ac:dyDescent="0.2">
      <c r="A52" s="337" t="str">
        <f t="shared" si="37"/>
        <v/>
      </c>
      <c r="B52" s="338">
        <f t="shared" si="38"/>
        <v>-953</v>
      </c>
      <c r="C52" s="339" t="str">
        <f t="shared" si="36"/>
        <v/>
      </c>
      <c r="D52" s="338">
        <f t="shared" si="39"/>
        <v>-953</v>
      </c>
      <c r="E52" s="340" t="str">
        <f t="shared" si="40"/>
        <v/>
      </c>
      <c r="F52" s="338">
        <f t="shared" si="41"/>
        <v>-953</v>
      </c>
      <c r="G52" s="341" t="str">
        <f t="shared" si="42"/>
        <v/>
      </c>
      <c r="H52" s="338">
        <f t="shared" si="43"/>
        <v>-953</v>
      </c>
      <c r="I52" s="342" t="str">
        <f t="shared" si="44"/>
        <v/>
      </c>
      <c r="J52" s="343">
        <f t="shared" si="45"/>
        <v>-953</v>
      </c>
      <c r="K52" s="302">
        <f t="shared" si="46"/>
        <v>46</v>
      </c>
      <c r="L52" s="361" t="s">
        <v>510</v>
      </c>
      <c r="M52" s="345"/>
      <c r="N52" s="346"/>
      <c r="O52" s="347"/>
      <c r="P52" s="348"/>
      <c r="Q52" s="349"/>
      <c r="R52" s="350">
        <f>(IF(COUNT(Z52,AA52,AB52,AC52,AD52,AE52,AF52,AG52,AH52,AI52)&lt;9,SUM(Z52,AA52,AB52,AC52,AD52,AE52,AF52,AG52,AH52,AI52),SUM(LARGE((Z52,AA52,AB52,AC52,AD52,AE52,AF52,AG52,AH52,AI52),{1;2;3;4;5;6;7;8;9}))))</f>
        <v>8</v>
      </c>
      <c r="S52" s="351" t="str">
        <f>INDEX(ETAPP!B$1:B$32,MATCH(COUNTIF(Z52:AI52,PVO!A$1),ETAPP!A$1:A$32,0))&amp;INDEX(ETAPP!B$1:B$32,MATCH(COUNTIF(Z52:AI52,PVO!A$2),ETAPP!A$1:A$32,0))&amp;INDEX(ETAPP!B$1:B$32,MATCH(COUNTIF(Z52:AI52,PVO!A$3),ETAPP!A$1:A$32,0))&amp;INDEX(ETAPP!B$1:B$32,MATCH(COUNTIF(Z52:AI52,PVO!A$4),ETAPP!A$1:A$32,0))&amp;INDEX(ETAPP!B$1:B$32,MATCH(COUNTIF(Z52:AI52,PVO!A$5),ETAPP!A$1:A$32,0))&amp;INDEX(ETAPP!B$1:B$32,MATCH(COUNTIF(Z52:AI52,PVO!A$6),ETAPP!A$1:A$32,0))&amp;INDEX(ETAPP!B$1:B$32,MATCH(COUNTIF(Z52:AI52,PVO!A$7),ETAPP!A$1:A$32,0))&amp;INDEX(ETAPP!B$1:B$32,MATCH(COUNTIF(Z52:AI52,PVO!A$8),ETAPP!A$1:A$32,0))&amp;INDEX(ETAPP!B$1:B$32,MATCH(COUNTIF(Z52:AI52,PVO!A$9),ETAPP!A$1:A$32,0))&amp;INDEX(ETAPP!B$1:B$32,MATCH(COUNTIF(Z52:AI52,PVO!A$10),ETAPP!A$1:A$32,0))&amp;INDEX(ETAPP!B$1:B$32,MATCH(COUNTIF(Z52:AI52,PVO!A$11),ETAPP!A$1:A$32,0))&amp;INDEX(ETAPP!B$1:B$32,MATCH(COUNTIF(Z52:AI52,PVO!A$12),ETAPP!A$1:A$32,0))&amp;INDEX(ETAPP!B$1:B$32,MATCH(COUNTIF(Z52:AI52,PVO!A$13),ETAPP!A$1:A$32,0))&amp;INDEX(ETAPP!B$1:B$32,MATCH(COUNTIF(Z52:AI52,PVO!A$14),ETAPP!A$1:A$32,0))&amp;INDEX(ETAPP!B$1:B$32,MATCH(COUNTIF(Z52:AI52,PVO!A$15),ETAPP!A$1:A$32,0))&amp;INDEX(ETAPP!B$1:B$32,MATCH(COUNTIF(Z52:AI52,PVO!A$16),ETAPP!A$1:A$32,0))&amp;INDEX(ETAPP!B$1:B$32,MATCH(COUNTIF(Z52:AI52,PVO!A$17),ETAPP!A$1:A$32,0))&amp;INDEX(ETAPP!B$1:B$32,MATCH(COUNTIF(Z52:AI52,PVO!A$18),ETAPP!A$1:A$32,0))&amp;INDEX(ETAPP!B$1:B$32,MATCH(COUNTIF(Z52:AI52,PVO!A$19),ETAPP!A$1:A$32,0))</f>
        <v>000000000000A000000</v>
      </c>
      <c r="T52" s="351" t="str">
        <f t="shared" si="47"/>
        <v>008,0-000000000000A000000</v>
      </c>
      <c r="U52" s="351">
        <f t="shared" si="48"/>
        <v>47</v>
      </c>
      <c r="V52" s="351">
        <f t="shared" si="49"/>
        <v>43</v>
      </c>
      <c r="W52" s="351" t="str">
        <f t="shared" si="50"/>
        <v>008,0-000000000000A000000-043</v>
      </c>
      <c r="X52" s="351">
        <f t="shared" si="51"/>
        <v>46</v>
      </c>
      <c r="Y52" s="352">
        <f t="shared" si="52"/>
        <v>7</v>
      </c>
      <c r="Z52" s="353" t="str">
        <f>IFERROR(INDEX('V1'!C$300:C$400,MATCH("*"&amp;L52&amp;"*",'V1'!B$300:B$400,0)),"  ")</f>
        <v xml:space="preserve">  </v>
      </c>
      <c r="AA52" s="353" t="str">
        <f>IFERROR(INDEX('V2'!C$300:C$395,MATCH("*"&amp;L52&amp;"*",'V2'!B$300:B$395,0)),"  ")</f>
        <v xml:space="preserve">  </v>
      </c>
      <c r="AB52" s="353" t="str">
        <f>IFERROR(INDEX('V3'!C$300:C$400,MATCH("*"&amp;L52&amp;"*",'V3'!B$300:B$400,0)),"  ")</f>
        <v xml:space="preserve">  </v>
      </c>
      <c r="AC52" s="353" t="str">
        <f>IFERROR(INDEX('V4'!C$300:C$400,MATCH("*"&amp;L52&amp;"*",'V4'!B$300:B$400,0)),"  ")</f>
        <v xml:space="preserve">  </v>
      </c>
      <c r="AD52" s="353" t="str">
        <f>IFERROR(INDEX('V5'!C$300:C$400,MATCH("*"&amp;L52&amp;"*",'V5'!B$300:B$400,0)),"  ")</f>
        <v xml:space="preserve">  </v>
      </c>
      <c r="AE52" s="353">
        <f>IFERROR(INDEX('V6'!C$300:C$400,MATCH("*"&amp;L52&amp;"*",'V6'!B$300:B$400,0)),"  ")</f>
        <v>8</v>
      </c>
      <c r="AF52" s="353" t="str">
        <f>IFERROR(INDEX('V7'!C$300:C$400,MATCH("*"&amp;L52&amp;"*",'V7'!B$300:B$400,0)),"  ")</f>
        <v xml:space="preserve">  </v>
      </c>
      <c r="AG52" s="353" t="str">
        <f>IFERROR(INDEX('V8'!C$300:C$400,MATCH("*"&amp;L52&amp;"*",'V8'!B$300:B$400,0)),"  ")</f>
        <v xml:space="preserve">  </v>
      </c>
      <c r="AH52" s="353" t="str">
        <f>IFERROR(INDEX('V9'!C$300:C$400,MATCH("*"&amp;L52&amp;"*",'V9'!B$300:B$400,0)),"  ")</f>
        <v xml:space="preserve">  </v>
      </c>
      <c r="AI52" s="353" t="str">
        <f>IFERROR(INDEX('V10'!C$300:C$400,MATCH("*"&amp;L52&amp;"*",'V10'!B$300:B$400,0)),"  ")</f>
        <v xml:space="preserve">  </v>
      </c>
      <c r="AJ52" s="354">
        <f t="shared" si="53"/>
        <v>0</v>
      </c>
      <c r="AK52" s="354" t="str">
        <f t="shared" si="54"/>
        <v/>
      </c>
      <c r="AL52" s="355">
        <f t="shared" si="55"/>
        <v>46</v>
      </c>
      <c r="AM52" s="356" t="str">
        <f>IFERROR(INDEX(#REF!,MATCH("*"&amp;L52&amp;"*",#REF!,0)),"  ")</f>
        <v xml:space="preserve">  </v>
      </c>
      <c r="AN52" s="357">
        <f t="shared" si="56"/>
        <v>1</v>
      </c>
      <c r="AO52" s="358">
        <f t="shared" si="57"/>
        <v>0</v>
      </c>
      <c r="AP52" s="358">
        <f t="shared" si="58"/>
        <v>0</v>
      </c>
      <c r="AQ52" s="267"/>
      <c r="AR52" s="359"/>
      <c r="AS52" s="360"/>
      <c r="AT52" s="360"/>
      <c r="AU52" s="360"/>
      <c r="AV52" s="360"/>
      <c r="AW52" s="359">
        <f t="shared" si="59"/>
        <v>1E-4</v>
      </c>
      <c r="AX52" s="360">
        <f t="shared" si="60"/>
        <v>1E-4</v>
      </c>
      <c r="AY52" s="360">
        <f t="shared" si="61"/>
        <v>2.0000000000000001E-4</v>
      </c>
      <c r="AZ52" s="360">
        <f t="shared" si="62"/>
        <v>2.9999999999999997E-4</v>
      </c>
      <c r="BA52" s="360">
        <f t="shared" si="63"/>
        <v>4.0000000000000002E-4</v>
      </c>
      <c r="BB52" s="360">
        <f t="shared" si="64"/>
        <v>5.0000000000000001E-4</v>
      </c>
      <c r="BC52" s="360">
        <f t="shared" si="65"/>
        <v>8.0006000000000004</v>
      </c>
      <c r="BD52" s="360">
        <f t="shared" si="66"/>
        <v>6.9999999999999999E-4</v>
      </c>
      <c r="BE52" s="360">
        <f t="shared" si="67"/>
        <v>8.0000000000000004E-4</v>
      </c>
      <c r="BF52" s="360">
        <f t="shared" si="68"/>
        <v>8.9999999999999998E-4</v>
      </c>
      <c r="BG52" s="360">
        <f t="shared" si="69"/>
        <v>1E-3</v>
      </c>
    </row>
    <row r="53" spans="1:59" x14ac:dyDescent="0.2">
      <c r="A53" s="337">
        <f t="shared" si="37"/>
        <v>27</v>
      </c>
      <c r="B53" s="338">
        <f t="shared" si="38"/>
        <v>47</v>
      </c>
      <c r="C53" s="339">
        <f t="shared" si="36"/>
        <v>12</v>
      </c>
      <c r="D53" s="338">
        <f t="shared" si="39"/>
        <v>47</v>
      </c>
      <c r="E53" s="340" t="str">
        <f t="shared" si="40"/>
        <v/>
      </c>
      <c r="F53" s="338">
        <f t="shared" si="41"/>
        <v>-953</v>
      </c>
      <c r="G53" s="341">
        <f t="shared" si="42"/>
        <v>12</v>
      </c>
      <c r="H53" s="338">
        <f t="shared" si="43"/>
        <v>47</v>
      </c>
      <c r="I53" s="342" t="str">
        <f t="shared" si="44"/>
        <v/>
      </c>
      <c r="J53" s="343">
        <f t="shared" si="45"/>
        <v>-953</v>
      </c>
      <c r="K53" s="302">
        <f t="shared" si="46"/>
        <v>46</v>
      </c>
      <c r="L53" s="363" t="s">
        <v>196</v>
      </c>
      <c r="M53" s="345" t="s">
        <v>119</v>
      </c>
      <c r="N53" s="346" t="str">
        <f>IF(M53="","m","")</f>
        <v/>
      </c>
      <c r="O53" s="347"/>
      <c r="P53" s="348" t="s">
        <v>191</v>
      </c>
      <c r="Q53" s="349" t="s">
        <v>190</v>
      </c>
      <c r="R53" s="350">
        <f>(IF(COUNT(Z53,AA53,AB53,AC53,AD53,AE53,AF53,AG53,AH53,AI53)&lt;9,SUM(Z53,AA53,AB53,AC53,AD53,AE53,AF53,AG53,AH53,AI53),SUM(LARGE((Z53,AA53,AB53,AC53,AD53,AE53,AF53,AG53,AH53,AI53),{1;2;3;4;5;6;7;8;9}))))</f>
        <v>8</v>
      </c>
      <c r="S53" s="351" t="str">
        <f>INDEX(ETAPP!B$1:B$32,MATCH(COUNTIF(Z53:AI53,PVO!A$1),ETAPP!A$1:A$32,0))&amp;INDEX(ETAPP!B$1:B$32,MATCH(COUNTIF(Z53:AI53,PVO!A$2),ETAPP!A$1:A$32,0))&amp;INDEX(ETAPP!B$1:B$32,MATCH(COUNTIF(Z53:AI53,PVO!A$3),ETAPP!A$1:A$32,0))&amp;INDEX(ETAPP!B$1:B$32,MATCH(COUNTIF(Z53:AI53,PVO!A$4),ETAPP!A$1:A$32,0))&amp;INDEX(ETAPP!B$1:B$32,MATCH(COUNTIF(Z53:AI53,PVO!A$5),ETAPP!A$1:A$32,0))&amp;INDEX(ETAPP!B$1:B$32,MATCH(COUNTIF(Z53:AI53,PVO!A$6),ETAPP!A$1:A$32,0))&amp;INDEX(ETAPP!B$1:B$32,MATCH(COUNTIF(Z53:AI53,PVO!A$7),ETAPP!A$1:A$32,0))&amp;INDEX(ETAPP!B$1:B$32,MATCH(COUNTIF(Z53:AI53,PVO!A$8),ETAPP!A$1:A$32,0))&amp;INDEX(ETAPP!B$1:B$32,MATCH(COUNTIF(Z53:AI53,PVO!A$9),ETAPP!A$1:A$32,0))&amp;INDEX(ETAPP!B$1:B$32,MATCH(COUNTIF(Z53:AI53,PVO!A$10),ETAPP!A$1:A$32,0))&amp;INDEX(ETAPP!B$1:B$32,MATCH(COUNTIF(Z53:AI53,PVO!A$11),ETAPP!A$1:A$32,0))&amp;INDEX(ETAPP!B$1:B$32,MATCH(COUNTIF(Z53:AI53,PVO!A$12),ETAPP!A$1:A$32,0))&amp;INDEX(ETAPP!B$1:B$32,MATCH(COUNTIF(Z53:AI53,PVO!A$13),ETAPP!A$1:A$32,0))&amp;INDEX(ETAPP!B$1:B$32,MATCH(COUNTIF(Z53:AI53,PVO!A$14),ETAPP!A$1:A$32,0))&amp;INDEX(ETAPP!B$1:B$32,MATCH(COUNTIF(Z53:AI53,PVO!A$15),ETAPP!A$1:A$32,0))&amp;INDEX(ETAPP!B$1:B$32,MATCH(COUNTIF(Z53:AI53,PVO!A$16),ETAPP!A$1:A$32,0))&amp;INDEX(ETAPP!B$1:B$32,MATCH(COUNTIF(Z53:AI53,PVO!A$17),ETAPP!A$1:A$32,0))&amp;INDEX(ETAPP!B$1:B$32,MATCH(COUNTIF(Z53:AI53,PVO!A$18),ETAPP!A$1:A$32,0))&amp;INDEX(ETAPP!B$1:B$32,MATCH(COUNTIF(Z53:AI53,PVO!A$19),ETAPP!A$1:A$32,0))</f>
        <v>000000000000A000000</v>
      </c>
      <c r="T53" s="351" t="str">
        <f t="shared" si="47"/>
        <v>008,0-000000000000A000000</v>
      </c>
      <c r="U53" s="351">
        <f t="shared" si="48"/>
        <v>47</v>
      </c>
      <c r="V53" s="351">
        <f t="shared" si="49"/>
        <v>37</v>
      </c>
      <c r="W53" s="351" t="str">
        <f t="shared" si="50"/>
        <v>008,0-000000000000A000000-037</v>
      </c>
      <c r="X53" s="351">
        <f t="shared" si="51"/>
        <v>47</v>
      </c>
      <c r="Y53" s="352">
        <f t="shared" si="52"/>
        <v>6</v>
      </c>
      <c r="Z53" s="353" t="str">
        <f>IFERROR(INDEX('V1'!C$300:C$400,MATCH("*"&amp;L53&amp;"*",'V1'!B$300:B$400,0)),"  ")</f>
        <v xml:space="preserve">  </v>
      </c>
      <c r="AA53" s="353" t="str">
        <f>IFERROR(INDEX('V2'!C$300:C$395,MATCH("*"&amp;L53&amp;"*",'V2'!B$300:B$395,0)),"  ")</f>
        <v xml:space="preserve">  </v>
      </c>
      <c r="AB53" s="353" t="str">
        <f>IFERROR(INDEX('V3'!C$300:C$400,MATCH("*"&amp;L53&amp;"*",'V3'!B$300:B$400,0)),"  ")</f>
        <v xml:space="preserve">  </v>
      </c>
      <c r="AC53" s="353" t="str">
        <f>IFERROR(INDEX('V4'!C$300:C$400,MATCH("*"&amp;L53&amp;"*",'V4'!B$300:B$400,0)),"  ")</f>
        <v xml:space="preserve">  </v>
      </c>
      <c r="AD53" s="353" t="str">
        <f>IFERROR(INDEX('V5'!C$300:C$400,MATCH("*"&amp;L53&amp;"*",'V5'!B$300:B$400,0)),"  ")</f>
        <v xml:space="preserve">  </v>
      </c>
      <c r="AE53" s="353">
        <f>IFERROR(INDEX('V6'!C$300:C$400,MATCH("*"&amp;L53&amp;"*",'V6'!B$300:B$400,0)),"  ")</f>
        <v>8</v>
      </c>
      <c r="AF53" s="353" t="str">
        <f>IFERROR(INDEX('V7'!C$300:C$400,MATCH("*"&amp;L53&amp;"*",'V7'!B$300:B$400,0)),"  ")</f>
        <v xml:space="preserve">  </v>
      </c>
      <c r="AG53" s="353" t="str">
        <f>IFERROR(INDEX('V8'!C$300:C$400,MATCH("*"&amp;L53&amp;"*",'V8'!B$300:B$400,0)),"  ")</f>
        <v xml:space="preserve">  </v>
      </c>
      <c r="AH53" s="353" t="str">
        <f>IFERROR(INDEX('V9'!C$300:C$400,MATCH("*"&amp;L53&amp;"*",'V9'!B$300:B$400,0)),"  ")</f>
        <v xml:space="preserve">  </v>
      </c>
      <c r="AI53" s="353" t="str">
        <f>IFERROR(INDEX('V10'!C$300:C$400,MATCH("*"&amp;L53&amp;"*",'V10'!B$300:B$400,0)),"  ")</f>
        <v xml:space="preserve">  </v>
      </c>
      <c r="AJ53" s="354">
        <f t="shared" si="53"/>
        <v>0</v>
      </c>
      <c r="AK53" s="354" t="str">
        <f t="shared" si="54"/>
        <v/>
      </c>
      <c r="AL53" s="355">
        <f t="shared" si="55"/>
        <v>46</v>
      </c>
      <c r="AM53" s="356" t="str">
        <f>IFERROR(INDEX(#REF!,MATCH("*"&amp;L53&amp;"*",#REF!,0)),"  ")</f>
        <v xml:space="preserve">  </v>
      </c>
      <c r="AN53" s="357">
        <f t="shared" si="56"/>
        <v>1</v>
      </c>
      <c r="AO53" s="358">
        <f t="shared" si="57"/>
        <v>0</v>
      </c>
      <c r="AP53" s="358">
        <f t="shared" si="58"/>
        <v>0</v>
      </c>
      <c r="AQ53" s="267"/>
      <c r="AR53" s="359"/>
      <c r="AS53" s="360"/>
      <c r="AT53" s="360"/>
      <c r="AU53" s="360"/>
      <c r="AV53" s="360"/>
      <c r="AW53" s="359">
        <f t="shared" si="59"/>
        <v>1E-4</v>
      </c>
      <c r="AX53" s="360">
        <f t="shared" si="60"/>
        <v>1E-4</v>
      </c>
      <c r="AY53" s="360">
        <f t="shared" si="61"/>
        <v>2.0000000000000001E-4</v>
      </c>
      <c r="AZ53" s="360">
        <f t="shared" si="62"/>
        <v>2.9999999999999997E-4</v>
      </c>
      <c r="BA53" s="360">
        <f t="shared" si="63"/>
        <v>4.0000000000000002E-4</v>
      </c>
      <c r="BB53" s="360">
        <f t="shared" si="64"/>
        <v>5.0000000000000001E-4</v>
      </c>
      <c r="BC53" s="360">
        <f t="shared" si="65"/>
        <v>8.0006000000000004</v>
      </c>
      <c r="BD53" s="360">
        <f t="shared" si="66"/>
        <v>6.9999999999999999E-4</v>
      </c>
      <c r="BE53" s="360">
        <f t="shared" si="67"/>
        <v>8.0000000000000004E-4</v>
      </c>
      <c r="BF53" s="360">
        <f t="shared" si="68"/>
        <v>8.9999999999999998E-4</v>
      </c>
      <c r="BG53" s="360">
        <f t="shared" si="69"/>
        <v>1E-3</v>
      </c>
    </row>
    <row r="54" spans="1:59" x14ac:dyDescent="0.2">
      <c r="A54" s="337" t="str">
        <f t="shared" si="37"/>
        <v/>
      </c>
      <c r="B54" s="338">
        <f t="shared" si="38"/>
        <v>-950</v>
      </c>
      <c r="C54" s="339" t="str">
        <f t="shared" si="36"/>
        <v/>
      </c>
      <c r="D54" s="338">
        <f t="shared" si="39"/>
        <v>-950</v>
      </c>
      <c r="E54" s="340" t="str">
        <f t="shared" si="40"/>
        <v/>
      </c>
      <c r="F54" s="338">
        <f t="shared" si="41"/>
        <v>-950</v>
      </c>
      <c r="G54" s="341">
        <f t="shared" si="42"/>
        <v>13</v>
      </c>
      <c r="H54" s="338">
        <f t="shared" si="43"/>
        <v>50</v>
      </c>
      <c r="I54" s="342" t="str">
        <f t="shared" si="44"/>
        <v/>
      </c>
      <c r="J54" s="343">
        <f t="shared" si="45"/>
        <v>-950</v>
      </c>
      <c r="K54" s="302">
        <f t="shared" si="46"/>
        <v>48</v>
      </c>
      <c r="L54" s="344" t="s">
        <v>154</v>
      </c>
      <c r="M54" s="345" t="s">
        <v>119</v>
      </c>
      <c r="N54" s="346" t="str">
        <f>IF(M54="","m","")</f>
        <v/>
      </c>
      <c r="O54" s="347"/>
      <c r="P54" s="348"/>
      <c r="Q54" s="349"/>
      <c r="R54" s="350">
        <f>(IF(COUNT(Z54,AA54,AB54,AC54,AD54,AE54,AF54,AG54,AH54,AI54)&lt;9,SUM(Z54,AA54,AB54,AC54,AD54,AE54,AF54,AG54,AH54,AI54),SUM(LARGE((Z54,AA54,AB54,AC54,AD54,AE54,AF54,AG54,AH54,AI54),{1;2;3;4;5;6;7;8;9}))))</f>
        <v>7</v>
      </c>
      <c r="S54" s="351" t="str">
        <f>INDEX(ETAPP!B$1:B$32,MATCH(COUNTIF(Z54:AI54,PVO!A$1),ETAPP!A$1:A$32,0))&amp;INDEX(ETAPP!B$1:B$32,MATCH(COUNTIF(Z54:AI54,PVO!A$2),ETAPP!A$1:A$32,0))&amp;INDEX(ETAPP!B$1:B$32,MATCH(COUNTIF(Z54:AI54,PVO!A$3),ETAPP!A$1:A$32,0))&amp;INDEX(ETAPP!B$1:B$32,MATCH(COUNTIF(Z54:AI54,PVO!A$4),ETAPP!A$1:A$32,0))&amp;INDEX(ETAPP!B$1:B$32,MATCH(COUNTIF(Z54:AI54,PVO!A$5),ETAPP!A$1:A$32,0))&amp;INDEX(ETAPP!B$1:B$32,MATCH(COUNTIF(Z54:AI54,PVO!A$6),ETAPP!A$1:A$32,0))&amp;INDEX(ETAPP!B$1:B$32,MATCH(COUNTIF(Z54:AI54,PVO!A$7),ETAPP!A$1:A$32,0))&amp;INDEX(ETAPP!B$1:B$32,MATCH(COUNTIF(Z54:AI54,PVO!A$8),ETAPP!A$1:A$32,0))&amp;INDEX(ETAPP!B$1:B$32,MATCH(COUNTIF(Z54:AI54,PVO!A$9),ETAPP!A$1:A$32,0))&amp;INDEX(ETAPP!B$1:B$32,MATCH(COUNTIF(Z54:AI54,PVO!A$10),ETAPP!A$1:A$32,0))&amp;INDEX(ETAPP!B$1:B$32,MATCH(COUNTIF(Z54:AI54,PVO!A$11),ETAPP!A$1:A$32,0))&amp;INDEX(ETAPP!B$1:B$32,MATCH(COUNTIF(Z54:AI54,PVO!A$12),ETAPP!A$1:A$32,0))&amp;INDEX(ETAPP!B$1:B$32,MATCH(COUNTIF(Z54:AI54,PVO!A$13),ETAPP!A$1:A$32,0))&amp;INDEX(ETAPP!B$1:B$32,MATCH(COUNTIF(Z54:AI54,PVO!A$14),ETAPP!A$1:A$32,0))&amp;INDEX(ETAPP!B$1:B$32,MATCH(COUNTIF(Z54:AI54,PVO!A$15),ETAPP!A$1:A$32,0))&amp;INDEX(ETAPP!B$1:B$32,MATCH(COUNTIF(Z54:AI54,PVO!A$16),ETAPP!A$1:A$32,0))&amp;INDEX(ETAPP!B$1:B$32,MATCH(COUNTIF(Z54:AI54,PVO!A$17),ETAPP!A$1:A$32,0))&amp;INDEX(ETAPP!B$1:B$32,MATCH(COUNTIF(Z54:AI54,PVO!A$18),ETAPP!A$1:A$32,0))&amp;INDEX(ETAPP!B$1:B$32,MATCH(COUNTIF(Z54:AI54,PVO!A$19),ETAPP!A$1:A$32,0))</f>
        <v>0000000000000A00000</v>
      </c>
      <c r="T54" s="351" t="str">
        <f t="shared" si="47"/>
        <v>007,0-0000000000000A00000</v>
      </c>
      <c r="U54" s="351">
        <f t="shared" si="48"/>
        <v>50</v>
      </c>
      <c r="V54" s="351">
        <f t="shared" si="49"/>
        <v>42</v>
      </c>
      <c r="W54" s="351" t="str">
        <f t="shared" si="50"/>
        <v>007,0-0000000000000A00000-042</v>
      </c>
      <c r="X54" s="351">
        <f t="shared" si="51"/>
        <v>48</v>
      </c>
      <c r="Y54" s="352">
        <f t="shared" si="52"/>
        <v>5</v>
      </c>
      <c r="Z54" s="353" t="str">
        <f>IFERROR(INDEX('V1'!C$300:C$400,MATCH("*"&amp;L54&amp;"*",'V1'!B$300:B$400,0)),"  ")</f>
        <v xml:space="preserve">  </v>
      </c>
      <c r="AA54" s="353" t="str">
        <f>IFERROR(INDEX('V2'!C$300:C$395,MATCH("*"&amp;L54&amp;"*",'V2'!B$300:B$395,0)),"  ")</f>
        <v xml:space="preserve">  </v>
      </c>
      <c r="AB54" s="353" t="str">
        <f>IFERROR(INDEX('V3'!C$300:C$400,MATCH("*"&amp;L54&amp;"*",'V3'!B$300:B$400,0)),"  ")</f>
        <v xml:space="preserve">  </v>
      </c>
      <c r="AC54" s="353" t="str">
        <f>IFERROR(INDEX('V4'!C$300:C$400,MATCH("*"&amp;L54&amp;"*",'V4'!B$300:B$400,0)),"  ")</f>
        <v xml:space="preserve">  </v>
      </c>
      <c r="AD54" s="353" t="str">
        <f>IFERROR(INDEX('V5'!C$300:C$400,MATCH("*"&amp;L54&amp;"*",'V5'!B$300:B$400,0)),"  ")</f>
        <v xml:space="preserve">  </v>
      </c>
      <c r="AE54" s="353" t="str">
        <f>IFERROR(INDEX('V6'!C$300:C$400,MATCH("*"&amp;L54&amp;"*",'V6'!B$300:B$400,0)),"  ")</f>
        <v xml:space="preserve">  </v>
      </c>
      <c r="AF54" s="353">
        <f>IFERROR(INDEX('V7'!C$300:C$400,MATCH("*"&amp;L54&amp;"*",'V7'!B$300:B$400,0)),"  ")</f>
        <v>7</v>
      </c>
      <c r="AG54" s="353" t="str">
        <f>IFERROR(INDEX('V8'!C$300:C$400,MATCH("*"&amp;L54&amp;"*",'V8'!B$300:B$400,0)),"  ")</f>
        <v xml:space="preserve">  </v>
      </c>
      <c r="AH54" s="353" t="str">
        <f>IFERROR(INDEX('V9'!C$300:C$400,MATCH("*"&amp;L54&amp;"*",'V9'!B$300:B$400,0)),"  ")</f>
        <v xml:space="preserve">  </v>
      </c>
      <c r="AI54" s="353" t="str">
        <f>IFERROR(INDEX('V10'!C$300:C$400,MATCH("*"&amp;L54&amp;"*",'V10'!B$300:B$400,0)),"  ")</f>
        <v xml:space="preserve">  </v>
      </c>
      <c r="AJ54" s="354">
        <f t="shared" si="53"/>
        <v>0</v>
      </c>
      <c r="AK54" s="354" t="str">
        <f t="shared" si="54"/>
        <v/>
      </c>
      <c r="AL54" s="355">
        <f t="shared" si="55"/>
        <v>48</v>
      </c>
      <c r="AM54" s="356" t="str">
        <f>IFERROR(INDEX(#REF!,MATCH("*"&amp;L54&amp;"*",#REF!,0)),"  ")</f>
        <v xml:space="preserve">  </v>
      </c>
      <c r="AN54" s="357">
        <f t="shared" si="56"/>
        <v>1</v>
      </c>
      <c r="AO54" s="358">
        <f t="shared" si="57"/>
        <v>0</v>
      </c>
      <c r="AP54" s="358">
        <f t="shared" si="58"/>
        <v>0</v>
      </c>
      <c r="AQ54" s="267"/>
      <c r="AR54" s="359"/>
      <c r="AS54" s="360"/>
      <c r="AT54" s="360"/>
      <c r="AU54" s="360"/>
      <c r="AV54" s="360"/>
      <c r="AW54" s="359">
        <f t="shared" si="59"/>
        <v>1E-4</v>
      </c>
      <c r="AX54" s="360">
        <f t="shared" si="60"/>
        <v>1E-4</v>
      </c>
      <c r="AY54" s="360">
        <f t="shared" si="61"/>
        <v>2.0000000000000001E-4</v>
      </c>
      <c r="AZ54" s="360">
        <f t="shared" si="62"/>
        <v>2.9999999999999997E-4</v>
      </c>
      <c r="BA54" s="360">
        <f t="shared" si="63"/>
        <v>4.0000000000000002E-4</v>
      </c>
      <c r="BB54" s="360">
        <f t="shared" si="64"/>
        <v>5.0000000000000001E-4</v>
      </c>
      <c r="BC54" s="360">
        <f t="shared" si="65"/>
        <v>5.9999999999999995E-4</v>
      </c>
      <c r="BD54" s="360">
        <f t="shared" si="66"/>
        <v>7.0007000000000001</v>
      </c>
      <c r="BE54" s="360">
        <f t="shared" si="67"/>
        <v>8.0000000000000004E-4</v>
      </c>
      <c r="BF54" s="360">
        <f t="shared" si="68"/>
        <v>8.9999999999999998E-4</v>
      </c>
      <c r="BG54" s="360">
        <f t="shared" si="69"/>
        <v>1E-3</v>
      </c>
    </row>
    <row r="55" spans="1:59" x14ac:dyDescent="0.2">
      <c r="A55" s="337" t="str">
        <f t="shared" si="37"/>
        <v/>
      </c>
      <c r="B55" s="338">
        <f t="shared" si="38"/>
        <v>-950</v>
      </c>
      <c r="C55" s="339" t="str">
        <f t="shared" si="36"/>
        <v/>
      </c>
      <c r="D55" s="338">
        <f t="shared" si="39"/>
        <v>-950</v>
      </c>
      <c r="E55" s="340">
        <f t="shared" si="40"/>
        <v>35</v>
      </c>
      <c r="F55" s="338">
        <f t="shared" si="41"/>
        <v>50</v>
      </c>
      <c r="G55" s="341" t="str">
        <f t="shared" si="42"/>
        <v/>
      </c>
      <c r="H55" s="338">
        <f t="shared" si="43"/>
        <v>-950</v>
      </c>
      <c r="I55" s="342" t="str">
        <f t="shared" si="44"/>
        <v/>
      </c>
      <c r="J55" s="343">
        <f t="shared" si="45"/>
        <v>-950</v>
      </c>
      <c r="K55" s="302">
        <f t="shared" si="46"/>
        <v>48</v>
      </c>
      <c r="L55" s="363" t="s">
        <v>193</v>
      </c>
      <c r="M55" s="345"/>
      <c r="N55" s="346" t="s">
        <v>192</v>
      </c>
      <c r="O55" s="347"/>
      <c r="P55" s="381"/>
      <c r="Q55" s="382"/>
      <c r="R55" s="350">
        <f>(IF(COUNT(Z55,AA55,AB55,AC55,AD55,AE55,AF55,AG55,AH55,AI55)&lt;9,SUM(Z55,AA55,AB55,AC55,AD55,AE55,AF55,AG55,AH55,AI55),SUM(LARGE((Z55,AA55,AB55,AC55,AD55,AE55,AF55,AG55,AH55,AI55),{1;2;3;4;5;6;7;8;9}))))</f>
        <v>7</v>
      </c>
      <c r="S55" s="351" t="str">
        <f>INDEX(ETAPP!B$1:B$32,MATCH(COUNTIF(Z55:AI55,PVO!A$1),ETAPP!A$1:A$32,0))&amp;INDEX(ETAPP!B$1:B$32,MATCH(COUNTIF(Z55:AI55,PVO!A$2),ETAPP!A$1:A$32,0))&amp;INDEX(ETAPP!B$1:B$32,MATCH(COUNTIF(Z55:AI55,PVO!A$3),ETAPP!A$1:A$32,0))&amp;INDEX(ETAPP!B$1:B$32,MATCH(COUNTIF(Z55:AI55,PVO!A$4),ETAPP!A$1:A$32,0))&amp;INDEX(ETAPP!B$1:B$32,MATCH(COUNTIF(Z55:AI55,PVO!A$5),ETAPP!A$1:A$32,0))&amp;INDEX(ETAPP!B$1:B$32,MATCH(COUNTIF(Z55:AI55,PVO!A$6),ETAPP!A$1:A$32,0))&amp;INDEX(ETAPP!B$1:B$32,MATCH(COUNTIF(Z55:AI55,PVO!A$7),ETAPP!A$1:A$32,0))&amp;INDEX(ETAPP!B$1:B$32,MATCH(COUNTIF(Z55:AI55,PVO!A$8),ETAPP!A$1:A$32,0))&amp;INDEX(ETAPP!B$1:B$32,MATCH(COUNTIF(Z55:AI55,PVO!A$9),ETAPP!A$1:A$32,0))&amp;INDEX(ETAPP!B$1:B$32,MATCH(COUNTIF(Z55:AI55,PVO!A$10),ETAPP!A$1:A$32,0))&amp;INDEX(ETAPP!B$1:B$32,MATCH(COUNTIF(Z55:AI55,PVO!A$11),ETAPP!A$1:A$32,0))&amp;INDEX(ETAPP!B$1:B$32,MATCH(COUNTIF(Z55:AI55,PVO!A$12),ETAPP!A$1:A$32,0))&amp;INDEX(ETAPP!B$1:B$32,MATCH(COUNTIF(Z55:AI55,PVO!A$13),ETAPP!A$1:A$32,0))&amp;INDEX(ETAPP!B$1:B$32,MATCH(COUNTIF(Z55:AI55,PVO!A$14),ETAPP!A$1:A$32,0))&amp;INDEX(ETAPP!B$1:B$32,MATCH(COUNTIF(Z55:AI55,PVO!A$15),ETAPP!A$1:A$32,0))&amp;INDEX(ETAPP!B$1:B$32,MATCH(COUNTIF(Z55:AI55,PVO!A$16),ETAPP!A$1:A$32,0))&amp;INDEX(ETAPP!B$1:B$32,MATCH(COUNTIF(Z55:AI55,PVO!A$17),ETAPP!A$1:A$32,0))&amp;INDEX(ETAPP!B$1:B$32,MATCH(COUNTIF(Z55:AI55,PVO!A$18),ETAPP!A$1:A$32,0))&amp;INDEX(ETAPP!B$1:B$32,MATCH(COUNTIF(Z55:AI55,PVO!A$19),ETAPP!A$1:A$32,0))</f>
        <v>0000000000000A00000</v>
      </c>
      <c r="T55" s="351" t="str">
        <f t="shared" si="47"/>
        <v>007,0-0000000000000A00000</v>
      </c>
      <c r="U55" s="351">
        <f t="shared" si="48"/>
        <v>50</v>
      </c>
      <c r="V55" s="351">
        <f t="shared" si="49"/>
        <v>16</v>
      </c>
      <c r="W55" s="351" t="str">
        <f t="shared" si="50"/>
        <v>007,0-0000000000000A00000-016</v>
      </c>
      <c r="X55" s="351">
        <f t="shared" si="51"/>
        <v>49</v>
      </c>
      <c r="Y55" s="352">
        <f t="shared" si="52"/>
        <v>4</v>
      </c>
      <c r="Z55" s="353" t="str">
        <f>IFERROR(INDEX('V1'!C$300:C$400,MATCH("*"&amp;L55&amp;"*",'V1'!B$300:B$400,0)),"  ")</f>
        <v xml:space="preserve">  </v>
      </c>
      <c r="AA55" s="353" t="str">
        <f>IFERROR(INDEX('V2'!C$300:C$395,MATCH("*"&amp;L55&amp;"*",'V2'!B$300:B$395,0)),"  ")</f>
        <v xml:space="preserve">  </v>
      </c>
      <c r="AB55" s="353" t="str">
        <f>IFERROR(INDEX('V3'!C$300:C$400,MATCH("*"&amp;L55&amp;"*",'V3'!B$300:B$400,0)),"  ")</f>
        <v xml:space="preserve">  </v>
      </c>
      <c r="AC55" s="353" t="str">
        <f>IFERROR(INDEX('V4'!C$300:C$400,MATCH("*"&amp;L55&amp;"*",'V4'!B$300:B$400,0)),"  ")</f>
        <v xml:space="preserve">  </v>
      </c>
      <c r="AD55" s="353" t="str">
        <f>IFERROR(INDEX('V5'!C$300:C$400,MATCH("*"&amp;L55&amp;"*",'V5'!B$300:B$400,0)),"  ")</f>
        <v xml:space="preserve">  </v>
      </c>
      <c r="AE55" s="353">
        <f>IFERROR(INDEX('V6'!C$300:C$400,MATCH("*"&amp;L55&amp;"*",'V6'!B$300:B$400,0)),"  ")</f>
        <v>7</v>
      </c>
      <c r="AF55" s="353" t="str">
        <f>IFERROR(INDEX('V7'!C$300:C$400,MATCH("*"&amp;L55&amp;"*",'V7'!B$300:B$400,0)),"  ")</f>
        <v xml:space="preserve">  </v>
      </c>
      <c r="AG55" s="353" t="str">
        <f>IFERROR(INDEX('V8'!C$300:C$400,MATCH("*"&amp;L55&amp;"*",'V8'!B$300:B$400,0)),"  ")</f>
        <v xml:space="preserve">  </v>
      </c>
      <c r="AH55" s="353" t="str">
        <f>IFERROR(INDEX('V9'!C$300:C$400,MATCH("*"&amp;L55&amp;"*",'V9'!B$300:B$400,0)),"  ")</f>
        <v xml:space="preserve">  </v>
      </c>
      <c r="AI55" s="353" t="str">
        <f>IFERROR(INDEX('V10'!C$300:C$400,MATCH("*"&amp;L55&amp;"*",'V10'!B$300:B$400,0)),"  ")</f>
        <v xml:space="preserve">  </v>
      </c>
      <c r="AJ55" s="354">
        <f t="shared" si="53"/>
        <v>0</v>
      </c>
      <c r="AK55" s="354" t="str">
        <f t="shared" si="54"/>
        <v/>
      </c>
      <c r="AL55" s="355">
        <f t="shared" si="55"/>
        <v>48</v>
      </c>
      <c r="AM55" s="356" t="str">
        <f>IFERROR(INDEX(#REF!,MATCH("*"&amp;L55&amp;"*",#REF!,0)),"  ")</f>
        <v xml:space="preserve">  </v>
      </c>
      <c r="AN55" s="357">
        <f t="shared" si="56"/>
        <v>1</v>
      </c>
      <c r="AO55" s="358">
        <f t="shared" si="57"/>
        <v>0</v>
      </c>
      <c r="AP55" s="358">
        <f t="shared" si="58"/>
        <v>0</v>
      </c>
      <c r="AQ55" s="267"/>
      <c r="AR55" s="359"/>
      <c r="AS55" s="360"/>
      <c r="AT55" s="360"/>
      <c r="AU55" s="360"/>
      <c r="AV55" s="360"/>
      <c r="AW55" s="359">
        <f t="shared" si="59"/>
        <v>1E-4</v>
      </c>
      <c r="AX55" s="360">
        <f t="shared" si="60"/>
        <v>1E-4</v>
      </c>
      <c r="AY55" s="360">
        <f t="shared" si="61"/>
        <v>2.0000000000000001E-4</v>
      </c>
      <c r="AZ55" s="360">
        <f t="shared" si="62"/>
        <v>2.9999999999999997E-4</v>
      </c>
      <c r="BA55" s="360">
        <f t="shared" si="63"/>
        <v>4.0000000000000002E-4</v>
      </c>
      <c r="BB55" s="360">
        <f t="shared" si="64"/>
        <v>5.0000000000000001E-4</v>
      </c>
      <c r="BC55" s="360">
        <f t="shared" si="65"/>
        <v>7.0006000000000004</v>
      </c>
      <c r="BD55" s="360">
        <f t="shared" si="66"/>
        <v>6.9999999999999999E-4</v>
      </c>
      <c r="BE55" s="360">
        <f t="shared" si="67"/>
        <v>8.0000000000000004E-4</v>
      </c>
      <c r="BF55" s="360">
        <f t="shared" si="68"/>
        <v>8.9999999999999998E-4</v>
      </c>
      <c r="BG55" s="360">
        <f t="shared" si="69"/>
        <v>1E-3</v>
      </c>
    </row>
    <row r="56" spans="1:59" x14ac:dyDescent="0.2">
      <c r="A56" s="337">
        <f t="shared" si="37"/>
        <v>28</v>
      </c>
      <c r="B56" s="338">
        <f t="shared" si="38"/>
        <v>50</v>
      </c>
      <c r="C56" s="339" t="str">
        <f t="shared" si="36"/>
        <v/>
      </c>
      <c r="D56" s="338">
        <f t="shared" si="39"/>
        <v>-950</v>
      </c>
      <c r="E56" s="340">
        <f t="shared" si="40"/>
        <v>35</v>
      </c>
      <c r="F56" s="338">
        <f t="shared" si="41"/>
        <v>50</v>
      </c>
      <c r="G56" s="341" t="str">
        <f t="shared" si="42"/>
        <v/>
      </c>
      <c r="H56" s="338">
        <f t="shared" si="43"/>
        <v>-950</v>
      </c>
      <c r="I56" s="342" t="str">
        <f t="shared" si="44"/>
        <v/>
      </c>
      <c r="J56" s="343">
        <f t="shared" si="45"/>
        <v>-950</v>
      </c>
      <c r="K56" s="302">
        <f t="shared" si="46"/>
        <v>48</v>
      </c>
      <c r="L56" s="362" t="s">
        <v>149</v>
      </c>
      <c r="M56" s="345"/>
      <c r="N56" s="346" t="str">
        <f>IF(M56="","m","")</f>
        <v>m</v>
      </c>
      <c r="O56" s="347"/>
      <c r="P56" s="348"/>
      <c r="Q56" s="349" t="s">
        <v>190</v>
      </c>
      <c r="R56" s="350">
        <f>(IF(COUNT(Z56,AA56,AB56,AC56,AD56,AE56,AF56,AG56,AH56,AI56)&lt;9,SUM(Z56,AA56,AB56,AC56,AD56,AE56,AF56,AG56,AH56,AI56),SUM(LARGE((Z56,AA56,AB56,AC56,AD56,AE56,AF56,AG56,AH56,AI56),{1;2;3;4;5;6;7;8;9}))))</f>
        <v>7</v>
      </c>
      <c r="S56" s="351" t="str">
        <f>INDEX(ETAPP!B$1:B$32,MATCH(COUNTIF(Z56:AI56,PVO!A$1),ETAPP!A$1:A$32,0))&amp;INDEX(ETAPP!B$1:B$32,MATCH(COUNTIF(Z56:AI56,PVO!A$2),ETAPP!A$1:A$32,0))&amp;INDEX(ETAPP!B$1:B$32,MATCH(COUNTIF(Z56:AI56,PVO!A$3),ETAPP!A$1:A$32,0))&amp;INDEX(ETAPP!B$1:B$32,MATCH(COUNTIF(Z56:AI56,PVO!A$4),ETAPP!A$1:A$32,0))&amp;INDEX(ETAPP!B$1:B$32,MATCH(COUNTIF(Z56:AI56,PVO!A$5),ETAPP!A$1:A$32,0))&amp;INDEX(ETAPP!B$1:B$32,MATCH(COUNTIF(Z56:AI56,PVO!A$6),ETAPP!A$1:A$32,0))&amp;INDEX(ETAPP!B$1:B$32,MATCH(COUNTIF(Z56:AI56,PVO!A$7),ETAPP!A$1:A$32,0))&amp;INDEX(ETAPP!B$1:B$32,MATCH(COUNTIF(Z56:AI56,PVO!A$8),ETAPP!A$1:A$32,0))&amp;INDEX(ETAPP!B$1:B$32,MATCH(COUNTIF(Z56:AI56,PVO!A$9),ETAPP!A$1:A$32,0))&amp;INDEX(ETAPP!B$1:B$32,MATCH(COUNTIF(Z56:AI56,PVO!A$10),ETAPP!A$1:A$32,0))&amp;INDEX(ETAPP!B$1:B$32,MATCH(COUNTIF(Z56:AI56,PVO!A$11),ETAPP!A$1:A$32,0))&amp;INDEX(ETAPP!B$1:B$32,MATCH(COUNTIF(Z56:AI56,PVO!A$12),ETAPP!A$1:A$32,0))&amp;INDEX(ETAPP!B$1:B$32,MATCH(COUNTIF(Z56:AI56,PVO!A$13),ETAPP!A$1:A$32,0))&amp;INDEX(ETAPP!B$1:B$32,MATCH(COUNTIF(Z56:AI56,PVO!A$14),ETAPP!A$1:A$32,0))&amp;INDEX(ETAPP!B$1:B$32,MATCH(COUNTIF(Z56:AI56,PVO!A$15),ETAPP!A$1:A$32,0))&amp;INDEX(ETAPP!B$1:B$32,MATCH(COUNTIF(Z56:AI56,PVO!A$16),ETAPP!A$1:A$32,0))&amp;INDEX(ETAPP!B$1:B$32,MATCH(COUNTIF(Z56:AI56,PVO!A$17),ETAPP!A$1:A$32,0))&amp;INDEX(ETAPP!B$1:B$32,MATCH(COUNTIF(Z56:AI56,PVO!A$18),ETAPP!A$1:A$32,0))&amp;INDEX(ETAPP!B$1:B$32,MATCH(COUNTIF(Z56:AI56,PVO!A$19),ETAPP!A$1:A$32,0))</f>
        <v>0000000000000A00000</v>
      </c>
      <c r="T56" s="351" t="str">
        <f t="shared" si="47"/>
        <v>007,0-0000000000000A00000</v>
      </c>
      <c r="U56" s="351">
        <f t="shared" si="48"/>
        <v>50</v>
      </c>
      <c r="V56" s="351">
        <f t="shared" si="49"/>
        <v>4</v>
      </c>
      <c r="W56" s="351" t="str">
        <f t="shared" si="50"/>
        <v>007,0-0000000000000A00000-004</v>
      </c>
      <c r="X56" s="351">
        <f t="shared" si="51"/>
        <v>50</v>
      </c>
      <c r="Y56" s="352">
        <f t="shared" si="52"/>
        <v>3</v>
      </c>
      <c r="Z56" s="353" t="str">
        <f>IFERROR(INDEX('V1'!C$300:C$400,MATCH("*"&amp;L56&amp;"*",'V1'!B$300:B$400,0)),"  ")</f>
        <v xml:space="preserve">  </v>
      </c>
      <c r="AA56" s="353" t="str">
        <f>IFERROR(INDEX('V2'!C$300:C$395,MATCH("*"&amp;L56&amp;"*",'V2'!B$300:B$395,0)),"  ")</f>
        <v xml:space="preserve">  </v>
      </c>
      <c r="AB56" s="353" t="str">
        <f>IFERROR(INDEX('V3'!C$300:C$400,MATCH("*"&amp;L56&amp;"*",'V3'!B$300:B$400,0)),"  ")</f>
        <v xml:space="preserve">  </v>
      </c>
      <c r="AC56" s="353" t="str">
        <f>IFERROR(INDEX('V4'!C$300:C$400,MATCH("*"&amp;L56&amp;"*",'V4'!B$300:B$400,0)),"  ")</f>
        <v xml:space="preserve">  </v>
      </c>
      <c r="AD56" s="353" t="str">
        <f>IFERROR(INDEX('V5'!C$300:C$400,MATCH("*"&amp;L56&amp;"*",'V5'!B$300:B$400,0)),"  ")</f>
        <v xml:space="preserve">  </v>
      </c>
      <c r="AE56" s="353" t="str">
        <f>IFERROR(INDEX('V6'!C$300:C$400,MATCH("*"&amp;L56&amp;"*",'V6'!B$300:B$400,0)),"  ")</f>
        <v xml:space="preserve">  </v>
      </c>
      <c r="AF56" s="353">
        <f>IFERROR(INDEX('V7'!C$300:C$400,MATCH("*"&amp;L56&amp;"*",'V7'!B$300:B$400,0)),"  ")</f>
        <v>7</v>
      </c>
      <c r="AG56" s="353" t="str">
        <f>IFERROR(INDEX('V8'!C$300:C$400,MATCH("*"&amp;L56&amp;"*",'V8'!B$300:B$400,0)),"  ")</f>
        <v xml:space="preserve">  </v>
      </c>
      <c r="AH56" s="353" t="str">
        <f>IFERROR(INDEX('V9'!C$300:C$400,MATCH("*"&amp;L56&amp;"*",'V9'!B$300:B$400,0)),"  ")</f>
        <v xml:space="preserve">  </v>
      </c>
      <c r="AI56" s="353" t="str">
        <f>IFERROR(INDEX('V10'!C$300:C$400,MATCH("*"&amp;L56&amp;"*",'V10'!B$300:B$400,0)),"  ")</f>
        <v xml:space="preserve">  </v>
      </c>
      <c r="AJ56" s="354">
        <f t="shared" si="53"/>
        <v>0</v>
      </c>
      <c r="AK56" s="354" t="str">
        <f t="shared" si="54"/>
        <v/>
      </c>
      <c r="AL56" s="355">
        <f t="shared" si="55"/>
        <v>48</v>
      </c>
      <c r="AM56" s="356" t="str">
        <f>IFERROR(INDEX(#REF!,MATCH("*"&amp;L56&amp;"*",#REF!,0)),"  ")</f>
        <v xml:space="preserve">  </v>
      </c>
      <c r="AN56" s="357">
        <f t="shared" si="56"/>
        <v>1</v>
      </c>
      <c r="AO56" s="358">
        <f t="shared" si="57"/>
        <v>0</v>
      </c>
      <c r="AP56" s="358">
        <f t="shared" si="58"/>
        <v>0</v>
      </c>
      <c r="AQ56" s="267"/>
      <c r="AR56" s="359"/>
      <c r="AS56" s="360"/>
      <c r="AT56" s="360"/>
      <c r="AU56" s="360"/>
      <c r="AV56" s="360"/>
      <c r="AW56" s="359">
        <f t="shared" si="59"/>
        <v>1E-4</v>
      </c>
      <c r="AX56" s="360">
        <f t="shared" si="60"/>
        <v>1E-4</v>
      </c>
      <c r="AY56" s="360">
        <f t="shared" si="61"/>
        <v>2.0000000000000001E-4</v>
      </c>
      <c r="AZ56" s="360">
        <f t="shared" si="62"/>
        <v>2.9999999999999997E-4</v>
      </c>
      <c r="BA56" s="360">
        <f t="shared" si="63"/>
        <v>4.0000000000000002E-4</v>
      </c>
      <c r="BB56" s="360">
        <f t="shared" si="64"/>
        <v>5.0000000000000001E-4</v>
      </c>
      <c r="BC56" s="360">
        <f t="shared" si="65"/>
        <v>5.9999999999999995E-4</v>
      </c>
      <c r="BD56" s="360">
        <f t="shared" si="66"/>
        <v>7.0007000000000001</v>
      </c>
      <c r="BE56" s="360">
        <f t="shared" si="67"/>
        <v>8.0000000000000004E-4</v>
      </c>
      <c r="BF56" s="360">
        <f t="shared" si="68"/>
        <v>8.9999999999999998E-4</v>
      </c>
      <c r="BG56" s="360">
        <f t="shared" si="69"/>
        <v>1E-3</v>
      </c>
    </row>
    <row r="57" spans="1:59" x14ac:dyDescent="0.2">
      <c r="A57" s="337" t="str">
        <f t="shared" si="37"/>
        <v/>
      </c>
      <c r="B57" s="338">
        <f t="shared" si="38"/>
        <v>-948</v>
      </c>
      <c r="C57" s="339" t="str">
        <f t="shared" si="36"/>
        <v/>
      </c>
      <c r="D57" s="338">
        <f t="shared" si="39"/>
        <v>-948</v>
      </c>
      <c r="E57" s="340">
        <f t="shared" si="40"/>
        <v>37</v>
      </c>
      <c r="F57" s="338">
        <f t="shared" si="41"/>
        <v>52</v>
      </c>
      <c r="G57" s="341" t="str">
        <f t="shared" si="42"/>
        <v/>
      </c>
      <c r="H57" s="338">
        <f t="shared" si="43"/>
        <v>-948</v>
      </c>
      <c r="I57" s="342" t="str">
        <f t="shared" si="44"/>
        <v/>
      </c>
      <c r="J57" s="343">
        <f t="shared" si="45"/>
        <v>-948</v>
      </c>
      <c r="K57" s="302">
        <f t="shared" si="46"/>
        <v>51</v>
      </c>
      <c r="L57" s="344" t="s">
        <v>158</v>
      </c>
      <c r="M57" s="345"/>
      <c r="N57" s="346" t="s">
        <v>192</v>
      </c>
      <c r="O57" s="347"/>
      <c r="P57" s="381"/>
      <c r="Q57" s="349"/>
      <c r="R57" s="350">
        <f>(IF(COUNT(Z57,AA57,AB57,AC57,AD57,AE57,AF57,AG57,AH57,AI57)&lt;9,SUM(Z57,AA57,AB57,AC57,AD57,AE57,AF57,AG57,AH57,AI57),SUM(LARGE((Z57,AA57,AB57,AC57,AD57,AE57,AF57,AG57,AH57,AI57),{1;2;3;4;5;6;7;8;9}))))</f>
        <v>6</v>
      </c>
      <c r="S57" s="351" t="str">
        <f>INDEX(ETAPP!B$1:B$32,MATCH(COUNTIF(Z57:AI57,PVO!A$1),ETAPP!A$1:A$32,0))&amp;INDEX(ETAPP!B$1:B$32,MATCH(COUNTIF(Z57:AI57,PVO!A$2),ETAPP!A$1:A$32,0))&amp;INDEX(ETAPP!B$1:B$32,MATCH(COUNTIF(Z57:AI57,PVO!A$3),ETAPP!A$1:A$32,0))&amp;INDEX(ETAPP!B$1:B$32,MATCH(COUNTIF(Z57:AI57,PVO!A$4),ETAPP!A$1:A$32,0))&amp;INDEX(ETAPP!B$1:B$32,MATCH(COUNTIF(Z57:AI57,PVO!A$5),ETAPP!A$1:A$32,0))&amp;INDEX(ETAPP!B$1:B$32,MATCH(COUNTIF(Z57:AI57,PVO!A$6),ETAPP!A$1:A$32,0))&amp;INDEX(ETAPP!B$1:B$32,MATCH(COUNTIF(Z57:AI57,PVO!A$7),ETAPP!A$1:A$32,0))&amp;INDEX(ETAPP!B$1:B$32,MATCH(COUNTIF(Z57:AI57,PVO!A$8),ETAPP!A$1:A$32,0))&amp;INDEX(ETAPP!B$1:B$32,MATCH(COUNTIF(Z57:AI57,PVO!A$9),ETAPP!A$1:A$32,0))&amp;INDEX(ETAPP!B$1:B$32,MATCH(COUNTIF(Z57:AI57,PVO!A$10),ETAPP!A$1:A$32,0))&amp;INDEX(ETAPP!B$1:B$32,MATCH(COUNTIF(Z57:AI57,PVO!A$11),ETAPP!A$1:A$32,0))&amp;INDEX(ETAPP!B$1:B$32,MATCH(COUNTIF(Z57:AI57,PVO!A$12),ETAPP!A$1:A$32,0))&amp;INDEX(ETAPP!B$1:B$32,MATCH(COUNTIF(Z57:AI57,PVO!A$13),ETAPP!A$1:A$32,0))&amp;INDEX(ETAPP!B$1:B$32,MATCH(COUNTIF(Z57:AI57,PVO!A$14),ETAPP!A$1:A$32,0))&amp;INDEX(ETAPP!B$1:B$32,MATCH(COUNTIF(Z57:AI57,PVO!A$15),ETAPP!A$1:A$32,0))&amp;INDEX(ETAPP!B$1:B$32,MATCH(COUNTIF(Z57:AI57,PVO!A$16),ETAPP!A$1:A$32,0))&amp;INDEX(ETAPP!B$1:B$32,MATCH(COUNTIF(Z57:AI57,PVO!A$17),ETAPP!A$1:A$32,0))&amp;INDEX(ETAPP!B$1:B$32,MATCH(COUNTIF(Z57:AI57,PVO!A$18),ETAPP!A$1:A$32,0))&amp;INDEX(ETAPP!B$1:B$32,MATCH(COUNTIF(Z57:AI57,PVO!A$19),ETAPP!A$1:A$32,0))</f>
        <v>00000000000000A0000</v>
      </c>
      <c r="T57" s="351" t="str">
        <f t="shared" si="47"/>
        <v>006,0-00000000000000A0000</v>
      </c>
      <c r="U57" s="351">
        <f t="shared" si="48"/>
        <v>52</v>
      </c>
      <c r="V57" s="351">
        <f t="shared" si="49"/>
        <v>22</v>
      </c>
      <c r="W57" s="351" t="str">
        <f t="shared" si="50"/>
        <v>006,0-00000000000000A0000-022</v>
      </c>
      <c r="X57" s="351">
        <f t="shared" si="51"/>
        <v>51</v>
      </c>
      <c r="Y57" s="352">
        <f t="shared" si="52"/>
        <v>2</v>
      </c>
      <c r="Z57" s="353" t="str">
        <f>IFERROR(INDEX('V1'!C$300:C$400,MATCH("*"&amp;L57&amp;"*",'V1'!B$300:B$400,0)),"  ")</f>
        <v xml:space="preserve">  </v>
      </c>
      <c r="AA57" s="353" t="str">
        <f>IFERROR(INDEX('V2'!C$300:C$395,MATCH("*"&amp;L57&amp;"*",'V2'!B$300:B$395,0)),"  ")</f>
        <v xml:space="preserve">  </v>
      </c>
      <c r="AB57" s="353" t="str">
        <f>IFERROR(INDEX('V3'!C$300:C$400,MATCH("*"&amp;L57&amp;"*",'V3'!B$300:B$400,0)),"  ")</f>
        <v xml:space="preserve">  </v>
      </c>
      <c r="AC57" s="353" t="str">
        <f>IFERROR(INDEX('V4'!C$300:C$400,MATCH("*"&amp;L57&amp;"*",'V4'!B$300:B$400,0)),"  ")</f>
        <v xml:space="preserve">  </v>
      </c>
      <c r="AD57" s="353" t="str">
        <f>IFERROR(INDEX('V5'!C$300:C$400,MATCH("*"&amp;L57&amp;"*",'V5'!B$300:B$400,0)),"  ")</f>
        <v xml:space="preserve">  </v>
      </c>
      <c r="AE57" s="353" t="str">
        <f>IFERROR(INDEX('V6'!C$300:C$400,MATCH("*"&amp;L57&amp;"*",'V6'!B$300:B$400,0)),"  ")</f>
        <v xml:space="preserve">  </v>
      </c>
      <c r="AF57" s="353">
        <f>IFERROR(INDEX('V7'!C$300:C$400,MATCH("*"&amp;L57&amp;"*",'V7'!B$300:B$400,0)),"  ")</f>
        <v>6</v>
      </c>
      <c r="AG57" s="353" t="str">
        <f>IFERROR(INDEX('V8'!C$300:C$400,MATCH("*"&amp;L57&amp;"*",'V8'!B$300:B$400,0)),"  ")</f>
        <v xml:space="preserve">  </v>
      </c>
      <c r="AH57" s="353" t="str">
        <f>IFERROR(INDEX('V9'!C$300:C$400,MATCH("*"&amp;L57&amp;"*",'V9'!B$300:B$400,0)),"  ")</f>
        <v xml:space="preserve">  </v>
      </c>
      <c r="AI57" s="353" t="str">
        <f>IFERROR(INDEX('V10'!C$300:C$400,MATCH("*"&amp;L57&amp;"*",'V10'!B$300:B$400,0)),"  ")</f>
        <v xml:space="preserve">  </v>
      </c>
      <c r="AJ57" s="354">
        <f t="shared" si="53"/>
        <v>0</v>
      </c>
      <c r="AK57" s="354" t="str">
        <f t="shared" si="54"/>
        <v/>
      </c>
      <c r="AL57" s="355">
        <f t="shared" si="55"/>
        <v>51</v>
      </c>
      <c r="AM57" s="356" t="str">
        <f>IFERROR(INDEX(#REF!,MATCH("*"&amp;L57&amp;"*",#REF!,0)),"  ")</f>
        <v xml:space="preserve">  </v>
      </c>
      <c r="AN57" s="357">
        <f t="shared" si="56"/>
        <v>1</v>
      </c>
      <c r="AO57" s="358">
        <f t="shared" si="57"/>
        <v>0</v>
      </c>
      <c r="AP57" s="358">
        <f t="shared" si="58"/>
        <v>0</v>
      </c>
      <c r="AQ57" s="267"/>
      <c r="AR57" s="359"/>
      <c r="AS57" s="360"/>
      <c r="AT57" s="360"/>
      <c r="AU57" s="360"/>
      <c r="AV57" s="360"/>
      <c r="AW57" s="359">
        <f t="shared" si="59"/>
        <v>1E-4</v>
      </c>
      <c r="AX57" s="360">
        <f t="shared" si="60"/>
        <v>1E-4</v>
      </c>
      <c r="AY57" s="360">
        <f t="shared" si="61"/>
        <v>2.0000000000000001E-4</v>
      </c>
      <c r="AZ57" s="360">
        <f t="shared" si="62"/>
        <v>2.9999999999999997E-4</v>
      </c>
      <c r="BA57" s="360">
        <f t="shared" si="63"/>
        <v>4.0000000000000002E-4</v>
      </c>
      <c r="BB57" s="360">
        <f t="shared" si="64"/>
        <v>5.0000000000000001E-4</v>
      </c>
      <c r="BC57" s="360">
        <f t="shared" si="65"/>
        <v>5.9999999999999995E-4</v>
      </c>
      <c r="BD57" s="360">
        <f t="shared" si="66"/>
        <v>6.0007000000000001</v>
      </c>
      <c r="BE57" s="360">
        <f t="shared" si="67"/>
        <v>8.0000000000000004E-4</v>
      </c>
      <c r="BF57" s="360">
        <f t="shared" si="68"/>
        <v>8.9999999999999998E-4</v>
      </c>
      <c r="BG57" s="360">
        <f t="shared" si="69"/>
        <v>1E-3</v>
      </c>
    </row>
    <row r="58" spans="1:59" x14ac:dyDescent="0.2">
      <c r="A58" s="337" t="str">
        <f t="shared" si="37"/>
        <v/>
      </c>
      <c r="B58" s="338">
        <f t="shared" si="38"/>
        <v>-948</v>
      </c>
      <c r="C58" s="339" t="str">
        <f t="shared" si="36"/>
        <v/>
      </c>
      <c r="D58" s="338">
        <f t="shared" si="39"/>
        <v>-948</v>
      </c>
      <c r="E58" s="340" t="str">
        <f t="shared" si="40"/>
        <v/>
      </c>
      <c r="F58" s="338">
        <f t="shared" si="41"/>
        <v>-948</v>
      </c>
      <c r="G58" s="341">
        <f t="shared" si="42"/>
        <v>14</v>
      </c>
      <c r="H58" s="338">
        <f t="shared" si="43"/>
        <v>52</v>
      </c>
      <c r="I58" s="342" t="str">
        <f t="shared" si="44"/>
        <v/>
      </c>
      <c r="J58" s="343">
        <f t="shared" si="45"/>
        <v>-948</v>
      </c>
      <c r="K58" s="302">
        <f t="shared" si="46"/>
        <v>51</v>
      </c>
      <c r="L58" s="361" t="s">
        <v>520</v>
      </c>
      <c r="M58" s="345" t="s">
        <v>119</v>
      </c>
      <c r="N58" s="346"/>
      <c r="O58" s="347"/>
      <c r="P58" s="348"/>
      <c r="Q58" s="349"/>
      <c r="R58" s="350">
        <f>(IF(COUNT(Z58,AA58,AB58,AC58,AD58,AE58,AF58,AG58,AH58,AI58)&lt;9,SUM(Z58,AA58,AB58,AC58,AD58,AE58,AF58,AG58,AH58,AI58),SUM(LARGE((Z58,AA58,AB58,AC58,AD58,AE58,AF58,AG58,AH58,AI58),{1;2;3;4;5;6;7;8;9}))))</f>
        <v>6</v>
      </c>
      <c r="S58" s="351" t="str">
        <f>INDEX(ETAPP!B$1:B$32,MATCH(COUNTIF(Z58:AI58,PVO!A$1),ETAPP!A$1:A$32,0))&amp;INDEX(ETAPP!B$1:B$32,MATCH(COUNTIF(Z58:AI58,PVO!A$2),ETAPP!A$1:A$32,0))&amp;INDEX(ETAPP!B$1:B$32,MATCH(COUNTIF(Z58:AI58,PVO!A$3),ETAPP!A$1:A$32,0))&amp;INDEX(ETAPP!B$1:B$32,MATCH(COUNTIF(Z58:AI58,PVO!A$4),ETAPP!A$1:A$32,0))&amp;INDEX(ETAPP!B$1:B$32,MATCH(COUNTIF(Z58:AI58,PVO!A$5),ETAPP!A$1:A$32,0))&amp;INDEX(ETAPP!B$1:B$32,MATCH(COUNTIF(Z58:AI58,PVO!A$6),ETAPP!A$1:A$32,0))&amp;INDEX(ETAPP!B$1:B$32,MATCH(COUNTIF(Z58:AI58,PVO!A$7),ETAPP!A$1:A$32,0))&amp;INDEX(ETAPP!B$1:B$32,MATCH(COUNTIF(Z58:AI58,PVO!A$8),ETAPP!A$1:A$32,0))&amp;INDEX(ETAPP!B$1:B$32,MATCH(COUNTIF(Z58:AI58,PVO!A$9),ETAPP!A$1:A$32,0))&amp;INDEX(ETAPP!B$1:B$32,MATCH(COUNTIF(Z58:AI58,PVO!A$10),ETAPP!A$1:A$32,0))&amp;INDEX(ETAPP!B$1:B$32,MATCH(COUNTIF(Z58:AI58,PVO!A$11),ETAPP!A$1:A$32,0))&amp;INDEX(ETAPP!B$1:B$32,MATCH(COUNTIF(Z58:AI58,PVO!A$12),ETAPP!A$1:A$32,0))&amp;INDEX(ETAPP!B$1:B$32,MATCH(COUNTIF(Z58:AI58,PVO!A$13),ETAPP!A$1:A$32,0))&amp;INDEX(ETAPP!B$1:B$32,MATCH(COUNTIF(Z58:AI58,PVO!A$14),ETAPP!A$1:A$32,0))&amp;INDEX(ETAPP!B$1:B$32,MATCH(COUNTIF(Z58:AI58,PVO!A$15),ETAPP!A$1:A$32,0))&amp;INDEX(ETAPP!B$1:B$32,MATCH(COUNTIF(Z58:AI58,PVO!A$16),ETAPP!A$1:A$32,0))&amp;INDEX(ETAPP!B$1:B$32,MATCH(COUNTIF(Z58:AI58,PVO!A$17),ETAPP!A$1:A$32,0))&amp;INDEX(ETAPP!B$1:B$32,MATCH(COUNTIF(Z58:AI58,PVO!A$18),ETAPP!A$1:A$32,0))&amp;INDEX(ETAPP!B$1:B$32,MATCH(COUNTIF(Z58:AI58,PVO!A$19),ETAPP!A$1:A$32,0))</f>
        <v>00000000000000A0000</v>
      </c>
      <c r="T58" s="351" t="str">
        <f t="shared" si="47"/>
        <v>006,0-00000000000000A0000</v>
      </c>
      <c r="U58" s="351">
        <f t="shared" si="48"/>
        <v>52</v>
      </c>
      <c r="V58" s="351">
        <f t="shared" si="49"/>
        <v>13</v>
      </c>
      <c r="W58" s="351" t="str">
        <f t="shared" si="50"/>
        <v>006,0-00000000000000A0000-013</v>
      </c>
      <c r="X58" s="351">
        <f t="shared" si="51"/>
        <v>52</v>
      </c>
      <c r="Y58" s="352">
        <f t="shared" si="52"/>
        <v>1</v>
      </c>
      <c r="Z58" s="353" t="str">
        <f>IFERROR(INDEX('V1'!C$300:C$400,MATCH("*"&amp;L58&amp;"*",'V1'!B$300:B$400,0)),"  ")</f>
        <v xml:space="preserve">  </v>
      </c>
      <c r="AA58" s="353" t="str">
        <f>IFERROR(INDEX('V2'!C$300:C$395,MATCH("*"&amp;L58&amp;"*",'V2'!B$300:B$395,0)),"  ")</f>
        <v xml:space="preserve">  </v>
      </c>
      <c r="AB58" s="353" t="str">
        <f>IFERROR(INDEX('V3'!C$300:C$400,MATCH("*"&amp;L58&amp;"*",'V3'!B$300:B$400,0)),"  ")</f>
        <v xml:space="preserve">  </v>
      </c>
      <c r="AC58" s="353" t="str">
        <f>IFERROR(INDEX('V4'!C$300:C$400,MATCH("*"&amp;L58&amp;"*",'V4'!B$300:B$400,0)),"  ")</f>
        <v xml:space="preserve">  </v>
      </c>
      <c r="AD58" s="353" t="str">
        <f>IFERROR(INDEX('V5'!C$300:C$400,MATCH("*"&amp;L58&amp;"*",'V5'!B$300:B$400,0)),"  ")</f>
        <v xml:space="preserve">  </v>
      </c>
      <c r="AE58" s="353" t="str">
        <f>IFERROR(INDEX('V6'!C$300:C$400,MATCH("*"&amp;L58&amp;"*",'V6'!B$300:B$400,0)),"  ")</f>
        <v xml:space="preserve">  </v>
      </c>
      <c r="AF58" s="353">
        <f>IFERROR(INDEX('V7'!C$300:C$400,MATCH("*"&amp;L58&amp;"*",'V7'!B$300:B$400,0)),"  ")</f>
        <v>6</v>
      </c>
      <c r="AG58" s="353" t="str">
        <f>IFERROR(INDEX('V8'!C$300:C$400,MATCH("*"&amp;L58&amp;"*",'V8'!B$300:B$400,0)),"  ")</f>
        <v xml:space="preserve">  </v>
      </c>
      <c r="AH58" s="353" t="str">
        <f>IFERROR(INDEX('V9'!C$300:C$400,MATCH("*"&amp;L58&amp;"*",'V9'!B$300:B$400,0)),"  ")</f>
        <v xml:space="preserve">  </v>
      </c>
      <c r="AI58" s="353" t="str">
        <f>IFERROR(INDEX('V10'!C$300:C$400,MATCH("*"&amp;L58&amp;"*",'V10'!B$300:B$400,0)),"  ")</f>
        <v xml:space="preserve">  </v>
      </c>
      <c r="AJ58" s="354">
        <f t="shared" si="53"/>
        <v>0</v>
      </c>
      <c r="AK58" s="354" t="str">
        <f t="shared" si="54"/>
        <v/>
      </c>
      <c r="AL58" s="355">
        <f t="shared" si="55"/>
        <v>51</v>
      </c>
      <c r="AM58" s="356" t="str">
        <f>IFERROR(INDEX(#REF!,MATCH("*"&amp;L58&amp;"*",#REF!,0)),"  ")</f>
        <v xml:space="preserve">  </v>
      </c>
      <c r="AN58" s="357">
        <f t="shared" si="56"/>
        <v>1</v>
      </c>
      <c r="AO58" s="358">
        <f t="shared" si="57"/>
        <v>0</v>
      </c>
      <c r="AP58" s="358">
        <f t="shared" si="58"/>
        <v>0</v>
      </c>
      <c r="AQ58" s="267"/>
      <c r="AR58" s="359"/>
      <c r="AS58" s="360"/>
      <c r="AT58" s="360"/>
      <c r="AU58" s="360"/>
      <c r="AV58" s="360"/>
      <c r="AW58" s="359">
        <f t="shared" si="59"/>
        <v>1E-4</v>
      </c>
      <c r="AX58" s="360">
        <f t="shared" si="60"/>
        <v>1E-4</v>
      </c>
      <c r="AY58" s="360">
        <f t="shared" si="61"/>
        <v>2.0000000000000001E-4</v>
      </c>
      <c r="AZ58" s="360">
        <f t="shared" si="62"/>
        <v>2.9999999999999997E-4</v>
      </c>
      <c r="BA58" s="360">
        <f t="shared" si="63"/>
        <v>4.0000000000000002E-4</v>
      </c>
      <c r="BB58" s="360">
        <f t="shared" si="64"/>
        <v>5.0000000000000001E-4</v>
      </c>
      <c r="BC58" s="360">
        <f t="shared" si="65"/>
        <v>5.9999999999999995E-4</v>
      </c>
      <c r="BD58" s="360">
        <f t="shared" si="66"/>
        <v>6.0007000000000001</v>
      </c>
      <c r="BE58" s="360">
        <f t="shared" si="67"/>
        <v>8.0000000000000004E-4</v>
      </c>
      <c r="BF58" s="360">
        <f t="shared" si="68"/>
        <v>8.9999999999999998E-4</v>
      </c>
      <c r="BG58" s="360">
        <f t="shared" si="69"/>
        <v>1E-3</v>
      </c>
    </row>
    <row r="59" spans="1:59" x14ac:dyDescent="0.2">
      <c r="A59" s="383">
        <f>COUNTIF(A7:A58,"&gt;0")</f>
        <v>28</v>
      </c>
      <c r="B59" s="384"/>
      <c r="C59" s="385">
        <f>COUNTIF(C7:C58,"&gt;0")</f>
        <v>12</v>
      </c>
      <c r="D59" s="384"/>
      <c r="E59" s="386">
        <f>COUNTIF(E7:E58,"&gt;0")</f>
        <v>37</v>
      </c>
      <c r="F59" s="384"/>
      <c r="G59" s="387">
        <f>COUNTIF(G7:G58,"&gt;0")</f>
        <v>14</v>
      </c>
      <c r="H59" s="384"/>
      <c r="I59" s="388">
        <f>COUNTIF(I7:I58,"&gt;0")</f>
        <v>4</v>
      </c>
      <c r="J59" s="384"/>
      <c r="K59" s="384">
        <f>COUNT(K7:K58)</f>
        <v>52</v>
      </c>
      <c r="L59" s="389" t="s">
        <v>159</v>
      </c>
      <c r="M59" s="387">
        <f>COUNTIF(M7:M58,"n")</f>
        <v>14</v>
      </c>
      <c r="N59" s="386">
        <f>COUNTIF(N7:N58,"m")</f>
        <v>37</v>
      </c>
      <c r="O59" s="388">
        <f>COUNTIF(O7:O58,"j")</f>
        <v>4</v>
      </c>
      <c r="P59" s="385">
        <f>COUNTIF(P7:P58,"k")</f>
        <v>12</v>
      </c>
      <c r="Q59" s="383">
        <f>COUNTIF(Q7:Q58,"v")</f>
        <v>28</v>
      </c>
      <c r="R59" s="390"/>
      <c r="S59" s="390"/>
      <c r="T59" s="390"/>
      <c r="U59" s="390"/>
      <c r="V59" s="390"/>
      <c r="W59" s="390"/>
      <c r="X59" s="390"/>
      <c r="Y59" s="390"/>
      <c r="Z59" s="391">
        <f t="shared" ref="Z59:AI59" si="70">COUNTIF(Z7:Z58,"&gt;0")</f>
        <v>18</v>
      </c>
      <c r="AA59" s="391">
        <f t="shared" si="70"/>
        <v>20</v>
      </c>
      <c r="AB59" s="391">
        <f t="shared" si="70"/>
        <v>20</v>
      </c>
      <c r="AC59" s="391">
        <f t="shared" si="70"/>
        <v>20</v>
      </c>
      <c r="AD59" s="391">
        <f t="shared" si="70"/>
        <v>20</v>
      </c>
      <c r="AE59" s="391">
        <f t="shared" si="70"/>
        <v>29</v>
      </c>
      <c r="AF59" s="391">
        <f t="shared" si="70"/>
        <v>33</v>
      </c>
      <c r="AG59" s="391">
        <f t="shared" si="70"/>
        <v>21</v>
      </c>
      <c r="AH59" s="391">
        <f t="shared" si="70"/>
        <v>24</v>
      </c>
      <c r="AI59" s="391">
        <f t="shared" si="70"/>
        <v>22</v>
      </c>
      <c r="AJ59" s="391"/>
      <c r="AK59" s="391"/>
      <c r="AL59" s="391"/>
      <c r="AM59" s="392">
        <f>COUNTIF(AM7:AM58,"&gt;0")</f>
        <v>0</v>
      </c>
      <c r="AN59" s="268"/>
      <c r="AO59" s="393"/>
      <c r="AP59" s="393"/>
      <c r="AQ59" s="267"/>
      <c r="AR59" s="267"/>
      <c r="AS59" s="267"/>
      <c r="AT59" s="267"/>
      <c r="AU59" s="267"/>
      <c r="AV59" s="267"/>
      <c r="AW59" s="359"/>
      <c r="AX59" s="360"/>
      <c r="AY59" s="360"/>
      <c r="AZ59" s="360"/>
      <c r="BA59" s="360"/>
      <c r="BB59" s="360"/>
      <c r="BC59" s="360"/>
      <c r="BD59" s="360"/>
      <c r="BE59" s="360"/>
      <c r="BF59" s="360"/>
      <c r="BG59" s="360"/>
    </row>
    <row r="60" spans="1:59" x14ac:dyDescent="0.2">
      <c r="A60" s="269"/>
      <c r="B60" s="269"/>
      <c r="C60" s="269"/>
      <c r="D60" s="269"/>
      <c r="E60" s="269"/>
      <c r="F60" s="269"/>
      <c r="G60" s="269"/>
      <c r="H60" s="269"/>
      <c r="I60" s="269"/>
      <c r="J60" s="269"/>
      <c r="K60" s="269"/>
      <c r="L60" s="389" t="s">
        <v>160</v>
      </c>
      <c r="M60" s="390"/>
      <c r="N60" s="390"/>
      <c r="O60" s="390"/>
      <c r="P60" s="390"/>
      <c r="Q60" s="390"/>
      <c r="R60" s="390"/>
      <c r="S60" s="390"/>
      <c r="T60" s="390"/>
      <c r="U60" s="390"/>
      <c r="V60" s="390"/>
      <c r="W60" s="390"/>
      <c r="X60" s="390"/>
      <c r="Y60" s="390"/>
      <c r="Z60" s="394">
        <f t="shared" ref="Z60:AI60" si="71">IF((Z59/(LEN(Z5)-LEN(SUBSTITUTE(Z5,"*","")))-0.5)&lt;0,"",Z59/(LEN(Z5)-LEN(SUBSTITUTE(Z5,"*","")))-0.5)</f>
        <v>8.5</v>
      </c>
      <c r="AA60" s="394">
        <f t="shared" si="71"/>
        <v>9.5</v>
      </c>
      <c r="AB60" s="394">
        <f t="shared" si="71"/>
        <v>9.5</v>
      </c>
      <c r="AC60" s="394">
        <f t="shared" si="71"/>
        <v>9.5</v>
      </c>
      <c r="AD60" s="394">
        <f t="shared" si="71"/>
        <v>9.5</v>
      </c>
      <c r="AE60" s="394">
        <f t="shared" si="71"/>
        <v>14</v>
      </c>
      <c r="AF60" s="394">
        <f t="shared" si="71"/>
        <v>16</v>
      </c>
      <c r="AG60" s="394">
        <f t="shared" si="71"/>
        <v>10</v>
      </c>
      <c r="AH60" s="394">
        <f t="shared" si="71"/>
        <v>11.5</v>
      </c>
      <c r="AI60" s="394">
        <f t="shared" si="71"/>
        <v>10.5</v>
      </c>
      <c r="AJ60" s="394"/>
      <c r="AK60" s="394"/>
      <c r="AL60" s="394"/>
      <c r="AM60" s="395"/>
      <c r="AN60" s="268"/>
      <c r="AO60" s="268"/>
      <c r="AP60" s="268"/>
      <c r="AQ60" s="267"/>
      <c r="AR60" s="267"/>
      <c r="AS60" s="267"/>
      <c r="AT60" s="267"/>
      <c r="AU60" s="267"/>
      <c r="AV60" s="267"/>
      <c r="AW60" s="267"/>
      <c r="AX60" s="267"/>
      <c r="AY60" s="267"/>
      <c r="AZ60" s="267"/>
      <c r="BA60" s="267"/>
      <c r="BB60" s="267"/>
      <c r="BC60" s="267"/>
    </row>
    <row r="61" spans="1:59" x14ac:dyDescent="0.2">
      <c r="A61" s="267"/>
      <c r="B61" s="267"/>
      <c r="C61" s="270"/>
      <c r="D61" s="270"/>
      <c r="E61" s="270"/>
      <c r="F61" s="270"/>
      <c r="G61" s="270"/>
      <c r="H61" s="270"/>
      <c r="I61" s="270"/>
      <c r="J61" s="270"/>
      <c r="K61" s="270"/>
      <c r="L61" s="267"/>
      <c r="M61" s="270"/>
      <c r="N61" s="270"/>
      <c r="O61" s="270"/>
      <c r="P61" s="396"/>
      <c r="Q61" s="396"/>
      <c r="R61" s="270"/>
      <c r="S61" s="270"/>
      <c r="T61" s="270"/>
      <c r="U61" s="270"/>
      <c r="V61" s="270"/>
      <c r="W61" s="270"/>
      <c r="X61" s="270"/>
      <c r="Y61" s="270"/>
      <c r="Z61" s="270"/>
      <c r="AA61" s="270"/>
      <c r="AB61" s="270"/>
      <c r="AC61" s="270"/>
      <c r="AD61" s="270"/>
      <c r="AE61" s="270"/>
      <c r="AF61" s="270"/>
      <c r="AG61" s="270"/>
      <c r="AH61" s="270"/>
      <c r="AI61" s="270"/>
      <c r="AJ61" s="270"/>
      <c r="AK61" s="270"/>
      <c r="AL61" s="270"/>
      <c r="AM61" s="270"/>
      <c r="AN61" s="267"/>
      <c r="AO61" s="267"/>
      <c r="AP61" s="267"/>
      <c r="AQ61" s="267"/>
      <c r="AR61" s="267"/>
      <c r="AS61" s="267"/>
      <c r="AT61" s="267"/>
      <c r="AU61" s="267"/>
      <c r="AV61" s="267"/>
      <c r="AW61" s="267"/>
      <c r="AX61" s="267"/>
      <c r="AY61" s="267"/>
      <c r="AZ61" s="267"/>
      <c r="BA61" s="267"/>
      <c r="BB61" s="267"/>
      <c r="BC61" s="267"/>
    </row>
    <row r="62" spans="1:59" x14ac:dyDescent="0.2">
      <c r="A62" s="267"/>
      <c r="B62" s="267"/>
      <c r="C62" s="270"/>
      <c r="D62" s="270"/>
      <c r="E62" s="270"/>
      <c r="F62" s="270"/>
      <c r="G62" s="270"/>
      <c r="H62" s="270"/>
      <c r="I62" s="270"/>
      <c r="J62" s="270"/>
      <c r="K62" s="270"/>
      <c r="L62" s="277" t="s">
        <v>199</v>
      </c>
      <c r="N62" s="270"/>
      <c r="O62" s="270"/>
      <c r="P62" s="396"/>
      <c r="Q62" s="396"/>
      <c r="S62" s="270"/>
      <c r="T62" s="270"/>
      <c r="U62" s="270"/>
      <c r="V62" s="270"/>
      <c r="W62" s="270"/>
      <c r="X62" s="270"/>
      <c r="Y62" s="270"/>
      <c r="Z62" s="270"/>
      <c r="AA62" s="270"/>
      <c r="AB62" s="270"/>
      <c r="AC62" s="270"/>
      <c r="AD62" s="270"/>
      <c r="AE62" s="270"/>
      <c r="AF62" s="270"/>
      <c r="AG62" s="270"/>
      <c r="AH62" s="270"/>
      <c r="AI62" s="270"/>
      <c r="AJ62" s="270"/>
      <c r="AK62" s="270"/>
      <c r="AL62" s="270"/>
      <c r="AM62" s="270"/>
      <c r="AN62" s="267"/>
      <c r="AO62" s="267"/>
      <c r="AP62" s="267"/>
      <c r="AQ62" s="267"/>
      <c r="AR62" s="267"/>
      <c r="AS62" s="267"/>
      <c r="AT62" s="267"/>
      <c r="AU62" s="267"/>
      <c r="AV62" s="267"/>
      <c r="AW62" s="267"/>
      <c r="AX62" s="267"/>
      <c r="AY62" s="267"/>
      <c r="AZ62" s="267"/>
      <c r="BA62" s="267"/>
      <c r="BB62" s="267"/>
      <c r="BC62" s="267"/>
    </row>
    <row r="63" spans="1:59" x14ac:dyDescent="0.2">
      <c r="A63" s="267"/>
      <c r="B63" s="267"/>
      <c r="C63" s="270"/>
      <c r="D63" s="270"/>
      <c r="E63" s="270"/>
      <c r="F63" s="270"/>
      <c r="G63" s="270"/>
      <c r="H63" s="270"/>
      <c r="I63" s="270"/>
      <c r="J63" s="270"/>
      <c r="K63" s="270"/>
      <c r="L63" s="267"/>
      <c r="M63" s="396"/>
      <c r="N63" s="396"/>
      <c r="O63" s="396"/>
      <c r="P63" s="396"/>
      <c r="Q63" s="396"/>
      <c r="R63" s="396"/>
      <c r="S63" s="396"/>
      <c r="T63" s="396"/>
      <c r="U63" s="396"/>
      <c r="V63" s="396"/>
      <c r="W63" s="396"/>
      <c r="X63" s="396"/>
      <c r="Y63" s="396"/>
      <c r="Z63" s="270"/>
      <c r="AA63" s="270"/>
      <c r="AB63" s="270"/>
      <c r="AC63" s="270"/>
      <c r="AD63" s="270"/>
      <c r="AE63" s="270"/>
      <c r="AF63" s="270"/>
      <c r="AG63" s="270"/>
      <c r="AH63" s="270"/>
      <c r="AI63" s="270"/>
      <c r="AJ63" s="270"/>
      <c r="AK63" s="270"/>
      <c r="AL63" s="270"/>
      <c r="AM63" s="270"/>
      <c r="AN63" s="267"/>
      <c r="AO63" s="267"/>
      <c r="AP63" s="267"/>
      <c r="AQ63" s="267"/>
      <c r="AR63" s="267"/>
      <c r="AS63" s="267"/>
      <c r="AT63" s="267"/>
      <c r="AU63" s="267"/>
      <c r="AV63" s="267"/>
      <c r="AW63" s="267"/>
      <c r="AX63" s="267"/>
      <c r="AY63" s="267"/>
      <c r="AZ63" s="267"/>
      <c r="BA63" s="267"/>
      <c r="BB63" s="267"/>
      <c r="BC63" s="267"/>
    </row>
  </sheetData>
  <autoFilter ref="AN6:AP6"/>
  <sortState ref="A7:BG131">
    <sortCondition descending="1" ref="Y7:Y131"/>
  </sortState>
  <mergeCells count="3">
    <mergeCell ref="AN4:AN5"/>
    <mergeCell ref="AO4:AO5"/>
    <mergeCell ref="AP4:AP5"/>
  </mergeCells>
  <conditionalFormatting sqref="AM7:AM58">
    <cfRule type="expression" dxfId="1351" priority="2">
      <formula>AM7=3</formula>
    </cfRule>
    <cfRule type="expression" dxfId="1350" priority="3">
      <formula>AM7=2</formula>
    </cfRule>
    <cfRule type="expression" dxfId="1349" priority="4">
      <formula>AM7=1</formula>
    </cfRule>
  </conditionalFormatting>
  <conditionalFormatting sqref="Z59:AI59">
    <cfRule type="top10" dxfId="1348" priority="7" stopIfTrue="1" rank="1"/>
  </conditionalFormatting>
  <conditionalFormatting sqref="Z60:AI60">
    <cfRule type="top10" dxfId="1347" priority="8" rank="1"/>
  </conditionalFormatting>
  <conditionalFormatting sqref="AJ7:AJ58">
    <cfRule type="containsText" dxfId="1346" priority="1" operator="containsText" text="puudu">
      <formula>NOT(ISERROR(SEARCH("puudu",AJ7)))</formula>
    </cfRule>
  </conditionalFormatting>
  <conditionalFormatting sqref="AO7:AO58">
    <cfRule type="top10" dxfId="1345" priority="984" stopIfTrue="1" rank="1"/>
  </conditionalFormatting>
  <conditionalFormatting sqref="AP7:AP58">
    <cfRule type="top10" dxfId="1344" priority="985" stopIfTrue="1" rank="1"/>
  </conditionalFormatting>
  <conditionalFormatting sqref="R7:R58">
    <cfRule type="duplicateValues" dxfId="1343" priority="986"/>
  </conditionalFormatting>
  <conditionalFormatting sqref="K7:K58">
    <cfRule type="duplicateValues" dxfId="1342" priority="987"/>
  </conditionalFormatting>
  <conditionalFormatting sqref="AN7:AN58">
    <cfRule type="top10" dxfId="1341" priority="988" stopIfTrue="1" rank="1"/>
  </conditionalFormatting>
  <conditionalFormatting sqref="AL7:AL58">
    <cfRule type="expression" dxfId="1340" priority="989">
      <formula>0=COUNT($AI$7:$AI$58)</formula>
    </cfRule>
    <cfRule type="notContainsText" dxfId="1339" priority="990" operator="notContains" text="edasi">
      <formula>ISERROR(SEARCH("edasi",AL7))</formula>
    </cfRule>
  </conditionalFormatting>
  <conditionalFormatting sqref="L7:L58">
    <cfRule type="expression" dxfId="1338" priority="991">
      <formula>AND(R7=LARGE(R$7:R$58,3),COUNT($AI$7:$AI$58)&gt;0)</formula>
    </cfRule>
    <cfRule type="expression" dxfId="1337" priority="992">
      <formula>AND(R7=LARGE(R$7:R$58,2),COUNT($AI$7:$AI$58)&gt;0)</formula>
    </cfRule>
    <cfRule type="expression" dxfId="1336" priority="993">
      <formula>AND(R7=LARGE(R$7:R$58,1),COUNT($AI$7:$AI$58)&gt;0)</formula>
    </cfRule>
    <cfRule type="expression" dxfId="1335" priority="994">
      <formula>M7="n"</formula>
    </cfRule>
    <cfRule type="expression" dxfId="1334" priority="995">
      <formula>O7="j"</formula>
    </cfRule>
    <cfRule type="expression" dxfId="1333" priority="996">
      <formula>P7="k"</formula>
    </cfRule>
    <cfRule type="duplicateValues" dxfId="1332" priority="997" stopIfTrue="1"/>
  </conditionalFormatting>
  <conditionalFormatting sqref="A7:A58 C7:C58 G7:G58 I7:I58">
    <cfRule type="expression" dxfId="1331" priority="998">
      <formula>AND(A7=SMALL(A$7:A$58,1),COUNT($AI$7:$AI$58)&gt;0)</formula>
    </cfRule>
  </conditionalFormatting>
  <conditionalFormatting sqref="Z7:AI58">
    <cfRule type="cellIs" dxfId="1330" priority="1002" operator="equal">
      <formula>18</formula>
    </cfRule>
    <cfRule type="cellIs" dxfId="1329" priority="1003" operator="equal">
      <formula>19</formula>
    </cfRule>
    <cfRule type="cellIs" dxfId="1328" priority="1004" operator="equal">
      <formula>20</formula>
    </cfRule>
    <cfRule type="expression" dxfId="1327" priority="1005">
      <formula>IF(COUNT(Z$7:Z$58)=0,TRUE)</formula>
    </cfRule>
    <cfRule type="expression" dxfId="1326" priority="1006">
      <formula>MID(Z$6,FIND("V",Z$6)+1,256)/10000+IF(Z7="  ",FALSE,Z7)&lt;=$AW7</formula>
    </cfRule>
  </conditionalFormatting>
  <pageMargins left="0.39370078740157483" right="0.27559055118110237" top="0.27559055118110237" bottom="0.19685039370078741" header="7.874015748031496E-2" footer="0"/>
  <pageSetup paperSize="9" fitToHeight="0" orientation="portrait" r:id="rId1"/>
  <headerFooter>
    <oddHeader>&amp;R&amp;9Page &amp;P of &amp;N</oddHead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08"/>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0.28515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5.710937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 min="39" max="39" width="9.140625" hidden="1" customWidth="1"/>
    <col min="40" max="40" width="17.28515625" hidden="1" customWidth="1"/>
    <col min="41" max="41" width="9.140625" hidden="1" customWidth="1"/>
    <col min="42" max="42" width="13.85546875" hidden="1" customWidth="1"/>
  </cols>
  <sheetData>
    <row r="1" spans="1:42" x14ac:dyDescent="0.2">
      <c r="A1" s="462" t="str">
        <f>UPPER((Kalend!E5)&amp;" - "&amp;(Kalend!C5)&amp;" - "&amp;(Kalend!D5))</f>
        <v>V1 - VOKA VIII KV 1. ETAPP - DUO</v>
      </c>
      <c r="B1" s="403"/>
      <c r="C1" s="404"/>
      <c r="D1" s="403"/>
      <c r="E1" s="403"/>
      <c r="L1" s="406"/>
      <c r="M1" s="407"/>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"&amp;(Kalend!A5)&amp;" kell "&amp;(Kalend!B5)</f>
        <v>Toimumisaeg: L, 08.05.2021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"&amp;(Kalend!F5)</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"&amp;(Kalend!G5)</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6" si="0">SUM(AE7:AP7)</f>
        <v>0</v>
      </c>
      <c r="AE7" s="459" t="str">
        <f>IFERROR(INDEX(V!$R:$R,MATCH(AF7,V!$L:$L,0)),"")</f>
        <v/>
      </c>
      <c r="AF7" s="460" t="str">
        <f t="shared" ref="AF7:AF16" si="1">IFERROR(LEFT($B7,(FIND(",",$B7,1)-1)),"")</f>
        <v/>
      </c>
      <c r="AG7" s="459" t="str">
        <f>IFERROR(INDEX(V!$R:$R,MATCH(AH7,V!$L:$L,0)),"")</f>
        <v/>
      </c>
      <c r="AH7" s="460" t="str">
        <f t="shared" ref="AH7:AH16" si="2">IFERROR(MID($B7,FIND(", ",$B7)+2,256),"")</f>
        <v/>
      </c>
      <c r="AI7" s="459" t="str">
        <f>IFERROR(INDEX(V!$R:$R,MATCH(AJ7,V!$L:$L,0)),"")</f>
        <v/>
      </c>
      <c r="AJ7" s="460" t="str">
        <f t="shared" ref="AJ7:AJ16" si="3">IFERROR(MID($B7,FIND("^",SUBSTITUTE($B7,", ","^",1))+2,FIND("^",SUBSTITUTE($B7,", ","^",2))-FIND("^",SUBSTITUTE($B7,", ","^",1))-2),"")</f>
        <v/>
      </c>
      <c r="AK7" s="459" t="str">
        <f>IFERROR(INDEX(V!$R:$R,MATCH(AL7,V!$L:$L,0)),"")</f>
        <v/>
      </c>
      <c r="AL7" s="460" t="str">
        <f t="shared" ref="AL7:AL16" si="4">IFERROR(MID($B7,FIND(", ",$B7,FIND(", ",$B7,FIND(", ",$B7))+1)+2,30000),"")</f>
        <v/>
      </c>
      <c r="AM7" s="459" t="str">
        <f>IFERROR(INDEX(V!$R:$R,MATCH(AN7,V!$L:$L,0)),"")</f>
        <v/>
      </c>
      <c r="AN7" s="460" t="str">
        <f t="shared" ref="AN7:AN16" si="5">IFERROR(MID($B7,FIND(", ",$B7,FIND(", ",$B7)+1)+2,FIND(", ",$B7,FIND(", ",$B7,FIND(", ",$B7)+1)+1)-FIND(", ",$B7,FIND(", ",$B7)+1)-2),"")</f>
        <v/>
      </c>
      <c r="AO7" s="459" t="str">
        <f>IFERROR(INDEX(V!$R:$R,MATCH(AP7,V!$L:$L,0)),"")</f>
        <v/>
      </c>
      <c r="AP7" s="460" t="str">
        <f t="shared" ref="AP7:AP16" si="6">IFERROR(MID($B7,FIND(", ",$B7,FIND(", ",$B7,FIND(", ",$B7)+1)+1)+2,30000),"")</f>
        <v/>
      </c>
    </row>
    <row r="8" spans="1:42" x14ac:dyDescent="0.2">
      <c r="A8" s="435">
        <v>1</v>
      </c>
      <c r="B8" s="436" t="s">
        <v>254</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40</v>
      </c>
      <c r="AE8" s="459">
        <f>IFERROR(INDEX(V!$R:$R,MATCH(AF8,V!$L:$L,0)),"")</f>
        <v>20</v>
      </c>
      <c r="AF8" s="460" t="str">
        <f t="shared" si="1"/>
        <v>Aarne Välja</v>
      </c>
      <c r="AG8" s="459">
        <f>IFERROR(INDEX(V!$R:$R,MATCH(AH8,V!$L:$L,0)),"")</f>
        <v>20</v>
      </c>
      <c r="AH8" s="460" t="str">
        <f t="shared" si="2"/>
        <v>Janek Tarto</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529</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6" si="7">IF(C9&gt;E9,J$3,IF(C9&lt;E9,J$5,IF(ISNUMBER(C9),J$4,0)))+IF(G9&gt;I9,J$3,IF(G9&lt;I9,J$5,IF(ISNUMBER(G9),J$4,0)))+IF(K9&gt;M9,J$3,IF(K9&lt;M9,J$5,IF(ISNUMBER(K9),J$4,0)))+IF(O9&gt;Q9,J$3,IF(O9&lt;Q9,J$5,IF(ISNUMBER(O9),J$4,0)))+IF(S9&gt;U9,J$3,IF(S9&lt;U9,J$5,IF(ISNUMBER(S9),J$4,0)))</f>
        <v>0</v>
      </c>
      <c r="X9" s="442"/>
      <c r="Y9" s="437">
        <f t="shared" ref="Y9:Y16" si="8">C9+G9+K9+O9+S9</f>
        <v>0</v>
      </c>
      <c r="Z9" s="438" t="s">
        <v>246</v>
      </c>
      <c r="AA9" s="443">
        <f t="shared" ref="AA9:AA16" si="9">E9+I9+M9+Q9+U9</f>
        <v>0</v>
      </c>
      <c r="AB9" s="444">
        <f t="shared" ref="AB9:AB16" si="10">Y9-AA9</f>
        <v>0</v>
      </c>
      <c r="AC9" s="445"/>
      <c r="AD9" s="458">
        <f t="shared" si="0"/>
        <v>183</v>
      </c>
      <c r="AE9" s="459">
        <f>IFERROR(INDEX(V!$R:$R,MATCH(AF9,V!$L:$L,0)),"")</f>
        <v>80</v>
      </c>
      <c r="AF9" s="460" t="str">
        <f t="shared" si="1"/>
        <v>Johannes Neiland</v>
      </c>
      <c r="AG9" s="459">
        <f>IFERROR(INDEX(V!$R:$R,MATCH(AH9,V!$L:$L,0)),"")</f>
        <v>103</v>
      </c>
      <c r="AH9" s="460" t="str">
        <f t="shared" si="2"/>
        <v>Olav Türk</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255</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259</v>
      </c>
      <c r="AE10" s="459">
        <f>IFERROR(INDEX(V!$R:$R,MATCH(AF10,V!$L:$L,0)),"")</f>
        <v>139</v>
      </c>
      <c r="AF10" s="460" t="str">
        <f t="shared" si="1"/>
        <v>Andres Veski</v>
      </c>
      <c r="AG10" s="459">
        <f>IFERROR(INDEX(V!$R:$R,MATCH(AH10,V!$L:$L,0)),"")</f>
        <v>120</v>
      </c>
      <c r="AH10" s="460" t="str">
        <f t="shared" si="2"/>
        <v>Svetlana Veski</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257</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181</v>
      </c>
      <c r="AE11" s="459">
        <f>IFERROR(INDEX(V!$R:$R,MATCH(AF11,V!$L:$L,0)),"")</f>
        <v>52</v>
      </c>
      <c r="AF11" s="460" t="str">
        <f t="shared" si="1"/>
        <v>Illar Tõnurist</v>
      </c>
      <c r="AG11" s="459">
        <f>IFERROR(INDEX(V!$R:$R,MATCH(AH11,V!$L:$L,0)),"")</f>
        <v>129</v>
      </c>
      <c r="AH11" s="460" t="str">
        <f t="shared" si="2"/>
        <v>Jaan Saar</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530</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205</v>
      </c>
      <c r="AE12" s="459">
        <f>IFERROR(INDEX(V!$R:$R,MATCH(AF12,V!$L:$L,0)),"")</f>
        <v>159</v>
      </c>
      <c r="AF12" s="460" t="str">
        <f t="shared" si="1"/>
        <v>Meelis Luud</v>
      </c>
      <c r="AG12" s="459">
        <f>IFERROR(INDEX(V!$R:$R,MATCH(AH12,V!$L:$L,0)),"")</f>
        <v>46</v>
      </c>
      <c r="AH12" s="460" t="str">
        <f t="shared" si="2"/>
        <v>Vladimir Ogneštšikov</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268</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238</v>
      </c>
      <c r="AE13" s="459">
        <f>IFERROR(INDEX(V!$R:$R,MATCH(AF13,V!$L:$L,0)),"")</f>
        <v>104</v>
      </c>
      <c r="AF13" s="460" t="str">
        <f t="shared" si="1"/>
        <v>Boriss Klubov</v>
      </c>
      <c r="AG13" s="459">
        <f>IFERROR(INDEX(V!$R:$R,MATCH(AH13,V!$L:$L,0)),"")</f>
        <v>134</v>
      </c>
      <c r="AH13" s="460" t="str">
        <f t="shared" si="2"/>
        <v>Elmo Lageda</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494</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299</v>
      </c>
      <c r="AE14" s="459">
        <f>IFERROR(INDEX(V!$R:$R,MATCH(AF14,V!$L:$L,0)),"")</f>
        <v>139</v>
      </c>
      <c r="AF14" s="460" t="str">
        <f t="shared" si="1"/>
        <v>Kaspar Mänd</v>
      </c>
      <c r="AG14" s="459">
        <f>IFERROR(INDEX(V!$R:$R,MATCH(AH14,V!$L:$L,0)),"")</f>
        <v>160</v>
      </c>
      <c r="AH14" s="460" t="str">
        <f t="shared" si="2"/>
        <v>Kenneth Muusikus</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258</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271</v>
      </c>
      <c r="AE15" s="459">
        <f>IFERROR(INDEX(V!$R:$R,MATCH(AF15,V!$L:$L,0)),"")</f>
        <v>132</v>
      </c>
      <c r="AF15" s="460" t="str">
        <f t="shared" si="1"/>
        <v>Henri Mitt</v>
      </c>
      <c r="AG15" s="459">
        <f>IFERROR(INDEX(V!$R:$R,MATCH(AH15,V!$L:$L,0)),"")</f>
        <v>139</v>
      </c>
      <c r="AH15" s="460" t="str">
        <f t="shared" si="2"/>
        <v>Urmas Randlaine</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252</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143</v>
      </c>
      <c r="AE16" s="459">
        <f>IFERROR(INDEX(V!$R:$R,MATCH(AF16,V!$L:$L,0)),"")</f>
        <v>75</v>
      </c>
      <c r="AF16" s="460" t="str">
        <f t="shared" si="1"/>
        <v>Enn Tokman</v>
      </c>
      <c r="AG16" s="459">
        <f>IFERROR(INDEX(V!$R:$R,MATCH(AH16,V!$L:$L,0)),"")</f>
        <v>68</v>
      </c>
      <c r="AH16" s="460" t="str">
        <f t="shared" si="2"/>
        <v>Tarmo Bombe</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6" hidden="1" x14ac:dyDescent="0.2"/>
    <row r="290" spans="1:6" hidden="1" x14ac:dyDescent="0.2"/>
    <row r="291" spans="1:6" hidden="1" x14ac:dyDescent="0.2"/>
    <row r="292" spans="1:6" hidden="1" x14ac:dyDescent="0.2"/>
    <row r="293" spans="1:6" hidden="1" x14ac:dyDescent="0.2"/>
    <row r="294" spans="1:6" hidden="1" x14ac:dyDescent="0.2"/>
    <row r="295" spans="1:6" hidden="1" x14ac:dyDescent="0.2"/>
    <row r="296" spans="1:6" hidden="1" x14ac:dyDescent="0.2"/>
    <row r="299" spans="1:6" x14ac:dyDescent="0.2">
      <c r="A299" s="403"/>
      <c r="B299" s="403"/>
      <c r="C299" s="447" t="s">
        <v>69</v>
      </c>
      <c r="F299" s="985" t="s">
        <v>84</v>
      </c>
    </row>
    <row r="300" spans="1:6" x14ac:dyDescent="0.2">
      <c r="A300" s="449">
        <v>1</v>
      </c>
      <c r="B300" s="450" t="str">
        <f t="shared" ref="B300:B308" si="11">IFERROR(INDEX(B$1:B$85,MATCH(A300,A$1:A$85,0)),"")</f>
        <v>Aarne Välja, Janek Tarto</v>
      </c>
      <c r="C300" s="451">
        <f>IF(21-A300&gt;0,IF(OR(A300=A301,A299=A300),21-A300-0.5,21-A300),1)</f>
        <v>20</v>
      </c>
      <c r="F300" s="985">
        <v>5</v>
      </c>
    </row>
    <row r="301" spans="1:6" x14ac:dyDescent="0.2">
      <c r="A301" s="449">
        <v>2</v>
      </c>
      <c r="B301" s="450" t="str">
        <f t="shared" si="11"/>
        <v>Johannes Neiland, Olav Türk</v>
      </c>
      <c r="C301" s="451">
        <f t="shared" ref="C301:C308" si="12">IF(21-A301&gt;0,IF(OR(A301=A302,A300=A301),21-A301-0.5,21-A301),1)</f>
        <v>19</v>
      </c>
      <c r="F301" s="985">
        <v>4</v>
      </c>
    </row>
    <row r="302" spans="1:6" x14ac:dyDescent="0.2">
      <c r="A302" s="449">
        <v>3</v>
      </c>
      <c r="B302" s="450" t="str">
        <f t="shared" si="11"/>
        <v>Andres Veski, Svetlana Veski</v>
      </c>
      <c r="C302" s="451">
        <f t="shared" si="12"/>
        <v>18</v>
      </c>
      <c r="F302" s="985">
        <v>3</v>
      </c>
    </row>
    <row r="303" spans="1:6" x14ac:dyDescent="0.2">
      <c r="A303" s="449">
        <v>4</v>
      </c>
      <c r="B303" s="450" t="str">
        <f t="shared" si="11"/>
        <v>Illar Tõnurist, Jaan Saar</v>
      </c>
      <c r="C303" s="451">
        <f t="shared" si="12"/>
        <v>17</v>
      </c>
      <c r="F303" s="985">
        <v>3</v>
      </c>
    </row>
    <row r="304" spans="1:6" x14ac:dyDescent="0.2">
      <c r="A304" s="449">
        <v>5</v>
      </c>
      <c r="B304" s="450" t="str">
        <f t="shared" si="11"/>
        <v>Meelis Luud, Vladimir Ogneštšikov</v>
      </c>
      <c r="C304" s="451">
        <f t="shared" si="12"/>
        <v>16</v>
      </c>
      <c r="F304" s="985">
        <v>3</v>
      </c>
    </row>
    <row r="305" spans="1:6" x14ac:dyDescent="0.2">
      <c r="A305" s="449">
        <v>6</v>
      </c>
      <c r="B305" s="450" t="str">
        <f t="shared" si="11"/>
        <v>Boriss Klubov, Elmo Lageda</v>
      </c>
      <c r="C305" s="451">
        <f t="shared" si="12"/>
        <v>15</v>
      </c>
      <c r="F305" s="985">
        <v>3</v>
      </c>
    </row>
    <row r="306" spans="1:6" x14ac:dyDescent="0.2">
      <c r="A306" s="449">
        <v>7</v>
      </c>
      <c r="B306" s="450" t="str">
        <f t="shared" si="11"/>
        <v>Kaspar Mänd, Kenneth Muusikus</v>
      </c>
      <c r="C306" s="451">
        <f t="shared" si="12"/>
        <v>14</v>
      </c>
      <c r="F306" s="985">
        <v>2</v>
      </c>
    </row>
    <row r="307" spans="1:6" x14ac:dyDescent="0.2">
      <c r="A307" s="449">
        <v>8</v>
      </c>
      <c r="B307" s="450" t="str">
        <f t="shared" si="11"/>
        <v>Henri Mitt, Urmas Randlaine</v>
      </c>
      <c r="C307" s="451">
        <f t="shared" si="12"/>
        <v>13</v>
      </c>
      <c r="F307" s="985">
        <v>2</v>
      </c>
    </row>
    <row r="308" spans="1:6" x14ac:dyDescent="0.2">
      <c r="A308" s="449">
        <v>9</v>
      </c>
      <c r="B308" s="450" t="str">
        <f t="shared" si="11"/>
        <v>Enn Tokman, Tarmo Bombe</v>
      </c>
      <c r="C308" s="451">
        <f t="shared" si="12"/>
        <v>12</v>
      </c>
      <c r="F308" s="985">
        <v>1</v>
      </c>
    </row>
  </sheetData>
  <conditionalFormatting sqref="C8:C16">
    <cfRule type="expression" dxfId="1325" priority="29">
      <formula>IF($C8&gt;$E8,TRUE)</formula>
    </cfRule>
  </conditionalFormatting>
  <conditionalFormatting sqref="E8:E16">
    <cfRule type="expression" dxfId="1324" priority="30">
      <formula>IF($C8&lt;$E8,TRUE)</formula>
    </cfRule>
  </conditionalFormatting>
  <conditionalFormatting sqref="K8:K16">
    <cfRule type="expression" dxfId="1323" priority="37">
      <formula>IF($K8&gt;$M8,TRUE)</formula>
    </cfRule>
  </conditionalFormatting>
  <conditionalFormatting sqref="M8:M16">
    <cfRule type="expression" dxfId="1322" priority="38">
      <formula>IF($K8&lt;$M8,TRUE)</formula>
    </cfRule>
  </conditionalFormatting>
  <conditionalFormatting sqref="O8:O16">
    <cfRule type="expression" dxfId="1321" priority="41">
      <formula>IF($O8&gt;$Q8,TRUE)</formula>
    </cfRule>
  </conditionalFormatting>
  <conditionalFormatting sqref="Q8:Q16">
    <cfRule type="expression" dxfId="1320" priority="42">
      <formula>IF($O8&lt;$Q8,TRUE)</formula>
    </cfRule>
  </conditionalFormatting>
  <conditionalFormatting sqref="S8:S16">
    <cfRule type="expression" dxfId="1319" priority="45">
      <formula>IF($S8&gt;$U8,TRUE)</formula>
    </cfRule>
  </conditionalFormatting>
  <conditionalFormatting sqref="U8:U16">
    <cfRule type="expression" dxfId="1318" priority="46">
      <formula>IF($S8&lt;$U8,TRUE)</formula>
    </cfRule>
  </conditionalFormatting>
  <conditionalFormatting sqref="G8:G16">
    <cfRule type="expression" dxfId="1317" priority="33">
      <formula>IF($G8&gt;$I8,TRUE)</formula>
    </cfRule>
  </conditionalFormatting>
  <conditionalFormatting sqref="I8:I16">
    <cfRule type="expression" dxfId="1316" priority="34">
      <formula>IF($G8&lt;$I8,TRUE)</formula>
    </cfRule>
  </conditionalFormatting>
  <conditionalFormatting sqref="F8:F16">
    <cfRule type="containsText" dxfId="1315" priority="20" operator="containsText" text="vaba voor">
      <formula>NOT(ISERROR(SEARCH("vaba voor",F8)))</formula>
    </cfRule>
  </conditionalFormatting>
  <conditionalFormatting sqref="N8:N16">
    <cfRule type="containsText" dxfId="1314" priority="18" operator="containsText" text="vaba voor">
      <formula>NOT(ISERROR(SEARCH("vaba voor",N8)))</formula>
    </cfRule>
  </conditionalFormatting>
  <conditionalFormatting sqref="R8:R16">
    <cfRule type="containsText" dxfId="1313" priority="21" operator="containsText" text="vaba voor">
      <formula>NOT(ISERROR(SEARCH("vaba voor",R8)))</formula>
    </cfRule>
  </conditionalFormatting>
  <conditionalFormatting sqref="V8:V16">
    <cfRule type="containsText" dxfId="1312" priority="17" operator="containsText" text="vaba voor">
      <formula>NOT(ISERROR(SEARCH("vaba voor",V8)))</formula>
    </cfRule>
  </conditionalFormatting>
  <conditionalFormatting sqref="J8:J16">
    <cfRule type="containsText" dxfId="1311" priority="19" operator="containsText" text="vaba voor">
      <formula>NOT(ISERROR(SEARCH("vaba voor",J8)))</formula>
    </cfRule>
  </conditionalFormatting>
  <conditionalFormatting sqref="C8:F16">
    <cfRule type="expression" dxfId="1310" priority="25">
      <formula>IF(AND(ISNUMBER($C8),$C8=$E8),TRUE)</formula>
    </cfRule>
    <cfRule type="expression" dxfId="1309" priority="27">
      <formula>IF($C8&gt;$E8,TRUE)</formula>
    </cfRule>
    <cfRule type="expression" dxfId="1308" priority="28">
      <formula>IF($C8&lt;$E8,TRUE)</formula>
    </cfRule>
  </conditionalFormatting>
  <conditionalFormatting sqref="G8:J16">
    <cfRule type="expression" dxfId="1307" priority="26">
      <formula>IF(AND(ISNUMBER($G8),$G8=$I8),TRUE)</formula>
    </cfRule>
    <cfRule type="expression" dxfId="1306" priority="31">
      <formula>IF($G8&gt;$I8,TRUE)</formula>
    </cfRule>
    <cfRule type="expression" dxfId="1305" priority="32">
      <formula>IF($G8&lt;$I8,TRUE)</formula>
    </cfRule>
  </conditionalFormatting>
  <conditionalFormatting sqref="K8:N16">
    <cfRule type="expression" dxfId="1304" priority="24">
      <formula>IF(AND(ISNUMBER($K8),$K8=$M8),TRUE)</formula>
    </cfRule>
    <cfRule type="expression" dxfId="1303" priority="35">
      <formula>IF($K8&gt;$M8,TRUE)</formula>
    </cfRule>
    <cfRule type="expression" dxfId="1302" priority="36">
      <formula>IF($K8&lt;$M8,TRUE)</formula>
    </cfRule>
  </conditionalFormatting>
  <conditionalFormatting sqref="O8:R16">
    <cfRule type="expression" dxfId="1301" priority="23">
      <formula>IF(AND(ISNUMBER($O8),$O8=$Q8),TRUE)</formula>
    </cfRule>
    <cfRule type="expression" dxfId="1300" priority="39">
      <formula>IF($O8&gt;$Q8,TRUE)</formula>
    </cfRule>
    <cfRule type="expression" dxfId="1299" priority="40">
      <formula>IF($O8&lt;$Q8,TRUE)</formula>
    </cfRule>
  </conditionalFormatting>
  <conditionalFormatting sqref="S8:V16">
    <cfRule type="expression" dxfId="1298" priority="22">
      <formula>IF(AND(ISNUMBER($S8),$S8=$U8),TRUE)</formula>
    </cfRule>
    <cfRule type="expression" dxfId="1297" priority="43">
      <formula>IF($S8&gt;$U8,TRUE)</formula>
    </cfRule>
    <cfRule type="expression" dxfId="1296" priority="44">
      <formula>IF($S8&lt;$U8,TRUE)</formula>
    </cfRule>
  </conditionalFormatting>
  <conditionalFormatting sqref="C8:C16 G8:G16 K8:K16 O8:O16 S8:S16">
    <cfRule type="expression" dxfId="1295" priority="15">
      <formula>AND(C8=0,E8=13)</formula>
    </cfRule>
  </conditionalFormatting>
  <conditionalFormatting sqref="E8:E16 I8:I16 M8:M16 Q8:Q16 U8:U16">
    <cfRule type="expression" dxfId="1294" priority="16">
      <formula>AND(E8=0,C8=13)</formula>
    </cfRule>
  </conditionalFormatting>
  <conditionalFormatting sqref="A300:A308">
    <cfRule type="duplicateValues" dxfId="1293" priority="75"/>
  </conditionalFormatting>
  <conditionalFormatting sqref="A8:A16">
    <cfRule type="duplicateValues" dxfId="1292" priority="144"/>
  </conditionalFormatting>
  <conditionalFormatting sqref="B300:B308">
    <cfRule type="expression" dxfId="1291" priority="190">
      <formula>A300=3</formula>
    </cfRule>
    <cfRule type="expression" dxfId="1290" priority="191">
      <formula>A300=2</formula>
    </cfRule>
    <cfRule type="expression" dxfId="1289" priority="192">
      <formula>A300=1</formula>
    </cfRule>
    <cfRule type="containsBlanks" dxfId="1288" priority="193">
      <formula>LEN(TRIM(B300))=0</formula>
    </cfRule>
    <cfRule type="duplicateValues" dxfId="1287" priority="194"/>
  </conditionalFormatting>
  <conditionalFormatting sqref="AJ6:AJ16">
    <cfRule type="expression" dxfId="1286" priority="5">
      <formula>AND(AI6="",FIND(",",AJ6))</formula>
    </cfRule>
    <cfRule type="expression" dxfId="1285" priority="7">
      <formula>AND(AI6="",COUNTIF(AJ6,"*,*")=0)</formula>
    </cfRule>
  </conditionalFormatting>
  <conditionalFormatting sqref="AH6:AH16">
    <cfRule type="expression" dxfId="1284" priority="8">
      <formula>AND(AG6="",FIND(",",AH6))</formula>
    </cfRule>
    <cfRule type="expression" dxfId="1283" priority="9">
      <formula>AND(AG6="",COUNTIF(AH6,"*,*")=0)</formula>
    </cfRule>
  </conditionalFormatting>
  <conditionalFormatting sqref="AL6:AL16">
    <cfRule type="expression" dxfId="1282" priority="10">
      <formula>AND(AK6="",FIND(",",AL6))</formula>
    </cfRule>
    <cfRule type="expression" dxfId="1281" priority="11">
      <formula>AND(AK6="",COUNTIF(AL6,"*,*")=0)</formula>
    </cfRule>
  </conditionalFormatting>
  <conditionalFormatting sqref="AF6:AF16">
    <cfRule type="expression" dxfId="1280" priority="6">
      <formula>AND(AE6="",COUNTIF(AF6,"*,*")=0)</formula>
    </cfRule>
  </conditionalFormatting>
  <conditionalFormatting sqref="AN6:AN16">
    <cfRule type="expression" dxfId="1279" priority="2">
      <formula>AND(AM6="",COUNTIF(AN6,"*,*")=0)</formula>
    </cfRule>
    <cfRule type="expression" dxfId="1278" priority="4">
      <formula>AND(AM6="",FIND(",",AN6))</formula>
    </cfRule>
  </conditionalFormatting>
  <conditionalFormatting sqref="AP6:AP16">
    <cfRule type="expression" dxfId="1277" priority="1">
      <formula>AND(AO6="",COUNTIF(AP6,"*,*")=0)</formula>
    </cfRule>
    <cfRule type="expression" dxfId="127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T137"/>
  <sheetViews>
    <sheetView showGridLines="0" showRowColHeaders="0" tabSelected="1" zoomScaleNormal="100" workbookViewId="0">
      <pane ySplit="3" topLeftCell="A4" activePane="bottomLeft" state="frozen"/>
      <selection pane="bottomLeft" activeCell="N1" sqref="N1"/>
    </sheetView>
  </sheetViews>
  <sheetFormatPr defaultRowHeight="12.75" x14ac:dyDescent="0.2"/>
  <cols>
    <col min="1" max="1" width="2.7109375" customWidth="1"/>
    <col min="2" max="2" width="3" customWidth="1"/>
    <col min="3" max="3" width="2.7109375" customWidth="1"/>
    <col min="4" max="4" width="3" customWidth="1"/>
    <col min="5" max="5" width="11.28515625" customWidth="1"/>
    <col min="6" max="6" width="3" customWidth="1"/>
    <col min="7" max="7" width="14" customWidth="1"/>
    <col min="8" max="8" width="3" customWidth="1"/>
    <col min="9" max="9" width="8.7109375" customWidth="1"/>
    <col min="10" max="10" width="3" customWidth="1"/>
    <col min="11" max="11" width="19.7109375" customWidth="1"/>
    <col min="12" max="12" width="3" customWidth="1"/>
    <col min="13" max="13" width="19.42578125" customWidth="1"/>
    <col min="14" max="14" width="3" customWidth="1"/>
    <col min="15" max="15" width="0.85546875" customWidth="1"/>
    <col min="16" max="16" width="3" hidden="1" customWidth="1"/>
    <col min="17" max="17" width="18.5703125" hidden="1" customWidth="1"/>
    <col min="18" max="18" width="3" hidden="1" customWidth="1"/>
    <col min="19" max="20" width="9.140625" hidden="1" customWidth="1"/>
  </cols>
  <sheetData>
    <row r="1" spans="1:19" x14ac:dyDescent="0.2">
      <c r="A1" s="42"/>
      <c r="C1" s="43" t="s">
        <v>340</v>
      </c>
      <c r="D1" s="44"/>
      <c r="E1" s="43"/>
      <c r="F1" s="43"/>
      <c r="G1" s="44"/>
      <c r="H1" s="44"/>
      <c r="I1" s="44"/>
      <c r="J1" s="45" t="str">
        <f>HYPERLINK("","")</f>
        <v/>
      </c>
      <c r="K1" s="7"/>
      <c r="L1" s="5" t="s">
        <v>348</v>
      </c>
      <c r="M1" s="42"/>
      <c r="N1" s="8"/>
      <c r="O1" s="7"/>
      <c r="P1" s="42"/>
      <c r="Q1" s="42"/>
      <c r="R1" s="42"/>
      <c r="S1" s="42"/>
    </row>
    <row r="2" spans="1:19" ht="13.5" thickBot="1" x14ac:dyDescent="0.25">
      <c r="A2" s="44"/>
      <c r="B2" s="44"/>
      <c r="C2" s="44"/>
      <c r="D2" s="44"/>
      <c r="E2" s="44"/>
      <c r="F2" s="44"/>
      <c r="G2" s="44"/>
      <c r="H2" s="44"/>
      <c r="I2" s="44"/>
      <c r="J2" s="44"/>
      <c r="K2" s="7"/>
      <c r="L2" s="8"/>
      <c r="M2" s="8"/>
      <c r="N2" s="46"/>
      <c r="O2" s="42"/>
      <c r="P2" s="42"/>
      <c r="Q2" s="42"/>
      <c r="R2" s="42"/>
      <c r="S2" s="42"/>
    </row>
    <row r="3" spans="1:19" ht="13.5" thickBot="1" x14ac:dyDescent="0.25">
      <c r="A3" s="47" t="s">
        <v>32</v>
      </c>
      <c r="B3" s="48"/>
      <c r="C3" s="47" t="s">
        <v>33</v>
      </c>
      <c r="D3" s="48"/>
      <c r="E3" s="47" t="s">
        <v>34</v>
      </c>
      <c r="F3" s="48"/>
      <c r="G3" s="47" t="s">
        <v>35</v>
      </c>
      <c r="H3" s="48"/>
      <c r="I3" s="47" t="s">
        <v>36</v>
      </c>
      <c r="J3" s="48"/>
      <c r="K3" s="47" t="s">
        <v>37</v>
      </c>
      <c r="L3" s="48"/>
      <c r="M3" s="47" t="s">
        <v>38</v>
      </c>
      <c r="N3" s="49"/>
      <c r="O3" s="42"/>
    </row>
    <row r="4" spans="1:19" ht="13.5" thickBot="1" x14ac:dyDescent="0.25">
      <c r="A4" s="50" t="s">
        <v>341</v>
      </c>
      <c r="B4" s="51"/>
      <c r="C4" s="52"/>
    </row>
    <row r="5" spans="1:19" x14ac:dyDescent="0.2">
      <c r="A5" s="79"/>
      <c r="B5" s="90">
        <v>1</v>
      </c>
      <c r="C5" s="116"/>
      <c r="D5" s="61">
        <v>2</v>
      </c>
      <c r="E5" s="79"/>
      <c r="F5" s="90">
        <v>3</v>
      </c>
      <c r="G5" s="116"/>
      <c r="H5" s="61">
        <v>4</v>
      </c>
      <c r="I5" s="79"/>
      <c r="J5" s="90">
        <v>5</v>
      </c>
      <c r="K5" s="787" t="str">
        <f>HYPERLINK("https://www.petanque.ee/index.php?id=103589&amp;cid=794","EM/MM katsevõistlus")</f>
        <v>EM/MM katsevõistlus</v>
      </c>
      <c r="L5" s="61">
        <v>6</v>
      </c>
      <c r="M5" s="941" t="str">
        <f>HYPERLINK("https://www.petanque.ee/index.php?id=103589&amp;cid=795","EM/MM katsevõistlus")</f>
        <v>EM/MM katsevõistlus</v>
      </c>
      <c r="N5" s="90">
        <v>7</v>
      </c>
      <c r="O5" s="42"/>
      <c r="Q5" s="778"/>
    </row>
    <row r="6" spans="1:19" x14ac:dyDescent="0.2">
      <c r="A6" s="71"/>
      <c r="B6" s="66"/>
      <c r="C6" s="57"/>
      <c r="D6" s="53"/>
      <c r="E6" s="71"/>
      <c r="F6" s="156"/>
      <c r="G6" s="57"/>
      <c r="H6" s="53"/>
      <c r="I6" s="71"/>
      <c r="J6" s="66"/>
      <c r="K6" s="788" t="s">
        <v>342</v>
      </c>
      <c r="L6" s="53"/>
      <c r="M6" s="789" t="s">
        <v>343</v>
      </c>
      <c r="N6" s="66"/>
      <c r="O6" s="42"/>
    </row>
    <row r="7" spans="1:19" ht="13.5" thickBot="1" x14ac:dyDescent="0.25">
      <c r="A7" s="73"/>
      <c r="B7" s="109"/>
      <c r="C7" s="78"/>
      <c r="D7" s="78"/>
      <c r="E7" s="73"/>
      <c r="F7" s="109"/>
      <c r="G7" s="148"/>
      <c r="H7" s="78"/>
      <c r="I7" s="73"/>
      <c r="J7" s="109"/>
      <c r="K7" s="1002" t="str">
        <f>HYPERLINK("https://kaart.delfi.ee/?bookmark=73a75c2d8ed4a34c764e205c87288d20","Harku, Pikk 19")</f>
        <v>Harku, Pikk 19</v>
      </c>
      <c r="L7" s="78"/>
      <c r="M7" s="1001" t="str">
        <f>HYPERLINK("https://kaart.delfi.ee/?bookmark=73a75c2d8ed4a34c764e205c87288d20","Harku, Pikk 19")</f>
        <v>Harku, Pikk 19</v>
      </c>
      <c r="N7" s="109"/>
      <c r="O7" s="42"/>
    </row>
    <row r="8" spans="1:19" hidden="1" x14ac:dyDescent="0.2">
      <c r="A8" s="71"/>
      <c r="B8" s="952">
        <v>8</v>
      </c>
      <c r="C8" s="57"/>
      <c r="D8" s="953">
        <v>9</v>
      </c>
      <c r="E8" s="71"/>
      <c r="F8" s="952">
        <v>10</v>
      </c>
      <c r="G8" s="57"/>
      <c r="H8" s="953">
        <v>11</v>
      </c>
      <c r="I8" s="71"/>
      <c r="J8" s="952">
        <v>12</v>
      </c>
      <c r="K8" s="57"/>
      <c r="L8" s="953">
        <v>13</v>
      </c>
      <c r="M8" s="71"/>
      <c r="N8" s="952">
        <v>14</v>
      </c>
      <c r="O8" s="42"/>
    </row>
    <row r="9" spans="1:19" ht="13.5" thickBot="1" x14ac:dyDescent="0.25">
      <c r="A9" s="954"/>
      <c r="B9" s="955"/>
      <c r="C9" s="954"/>
      <c r="D9" s="955"/>
      <c r="E9" s="954"/>
      <c r="F9" s="955"/>
      <c r="G9" s="954"/>
      <c r="H9" s="955"/>
      <c r="I9" s="954"/>
      <c r="J9" s="955"/>
      <c r="K9" s="954"/>
      <c r="L9" s="955"/>
      <c r="M9" s="954"/>
      <c r="N9" s="955"/>
      <c r="O9" s="42"/>
    </row>
    <row r="10" spans="1:19" ht="13.5" hidden="1" thickBot="1" x14ac:dyDescent="0.25">
      <c r="A10" s="73"/>
      <c r="B10" s="109"/>
      <c r="C10" s="78"/>
      <c r="D10" s="78"/>
      <c r="E10" s="73"/>
      <c r="F10" s="109"/>
      <c r="G10" s="148"/>
      <c r="H10" s="78"/>
      <c r="I10" s="73"/>
      <c r="J10" s="109"/>
      <c r="K10" s="78"/>
      <c r="L10" s="78"/>
      <c r="M10" s="73"/>
      <c r="N10" s="109"/>
      <c r="O10" s="42"/>
    </row>
    <row r="11" spans="1:19" x14ac:dyDescent="0.2">
      <c r="A11" s="71"/>
      <c r="B11" s="55">
        <v>15</v>
      </c>
      <c r="C11" s="57"/>
      <c r="D11" s="54">
        <v>16</v>
      </c>
      <c r="E11" s="71"/>
      <c r="F11" s="55">
        <v>17</v>
      </c>
      <c r="G11" s="57"/>
      <c r="H11" s="54">
        <v>18</v>
      </c>
      <c r="I11" s="71"/>
      <c r="J11" s="55">
        <v>19</v>
      </c>
      <c r="K11" s="787" t="str">
        <f>HYPERLINK("https://www.petanque.ee/index.php?id=103589&amp;cid=800","EM/MM katsevõistlus")</f>
        <v>EM/MM katsevõistlus</v>
      </c>
      <c r="L11" s="54">
        <v>20</v>
      </c>
      <c r="M11" s="71"/>
      <c r="N11" s="55">
        <v>21</v>
      </c>
      <c r="O11" s="42"/>
      <c r="Q11" s="778"/>
    </row>
    <row r="12" spans="1:19" x14ac:dyDescent="0.2">
      <c r="A12" s="71"/>
      <c r="B12" s="66"/>
      <c r="C12" s="57"/>
      <c r="D12" s="53"/>
      <c r="E12" s="71"/>
      <c r="F12" s="156"/>
      <c r="G12" s="57"/>
      <c r="H12" s="53"/>
      <c r="I12" s="71"/>
      <c r="J12" s="66"/>
      <c r="K12" s="788" t="s">
        <v>344</v>
      </c>
      <c r="L12" s="53"/>
      <c r="M12" s="71"/>
      <c r="N12" s="66"/>
      <c r="O12" s="42"/>
    </row>
    <row r="13" spans="1:19" ht="13.5" thickBot="1" x14ac:dyDescent="0.25">
      <c r="A13" s="71"/>
      <c r="B13" s="84"/>
      <c r="C13" s="57"/>
      <c r="D13" s="57"/>
      <c r="E13" s="71"/>
      <c r="F13" s="84"/>
      <c r="G13" s="140"/>
      <c r="H13" s="57"/>
      <c r="I13" s="71"/>
      <c r="J13" s="84"/>
      <c r="K13" s="1003" t="str">
        <f>HYPERLINK("https://kaart.delfi.ee/?bookmark=73a75c2d8ed4a34c764e205c87288d20","Harku, Pikk 19")</f>
        <v>Harku, Pikk 19</v>
      </c>
      <c r="L13" s="57"/>
      <c r="M13" s="71"/>
      <c r="N13" s="84"/>
      <c r="O13" s="42"/>
    </row>
    <row r="14" spans="1:19" ht="13.5" thickBot="1" x14ac:dyDescent="0.25">
      <c r="A14" s="812"/>
      <c r="B14" s="813"/>
      <c r="C14" s="813"/>
      <c r="D14" s="813"/>
      <c r="E14" s="813"/>
      <c r="F14" s="813"/>
      <c r="G14" s="814"/>
      <c r="H14" s="813"/>
      <c r="I14" s="815" t="s">
        <v>413</v>
      </c>
      <c r="J14" s="813"/>
      <c r="K14" s="816"/>
      <c r="L14" s="813"/>
      <c r="M14" s="813"/>
      <c r="N14" s="817"/>
      <c r="O14" s="42"/>
    </row>
    <row r="15" spans="1:19" ht="13.5" thickBot="1" x14ac:dyDescent="0.25">
      <c r="A15" s="50" t="s">
        <v>349</v>
      </c>
      <c r="B15" s="51"/>
      <c r="C15" s="52"/>
      <c r="D15" s="57"/>
      <c r="E15" s="57"/>
      <c r="F15" s="57"/>
      <c r="G15" s="57"/>
      <c r="H15" s="57"/>
      <c r="I15" s="53"/>
    </row>
    <row r="16" spans="1:19" x14ac:dyDescent="0.2">
      <c r="A16" s="59"/>
      <c r="B16" s="60">
        <v>3</v>
      </c>
      <c r="C16" s="731"/>
      <c r="D16" s="92">
        <v>4</v>
      </c>
      <c r="E16" s="683"/>
      <c r="F16" s="60">
        <v>5</v>
      </c>
      <c r="G16" s="679"/>
      <c r="H16" s="92">
        <v>6</v>
      </c>
      <c r="I16" s="59"/>
      <c r="J16" s="60">
        <v>7</v>
      </c>
      <c r="K16" s="938" t="str">
        <f>HYPERLINK("https://www.petanque.ee/index.php?id=103589&amp;cid=792","4. Klubide sari 1.etapp")</f>
        <v>4. Klubide sari 1.etapp</v>
      </c>
      <c r="L16" s="92">
        <v>8</v>
      </c>
      <c r="M16" s="993" t="str">
        <f>HYPERLINK("https://www.petanque.ee/index.php?id=103589&amp;cid=793","Eesti sise-MV")</f>
        <v>Eesti sise-MV</v>
      </c>
      <c r="N16" s="60">
        <v>9</v>
      </c>
      <c r="O16" s="42"/>
      <c r="Q16" s="778"/>
    </row>
    <row r="17" spans="1:17" x14ac:dyDescent="0.2">
      <c r="A17" s="62"/>
      <c r="B17" s="65"/>
      <c r="C17" s="57"/>
      <c r="D17" s="53"/>
      <c r="E17" s="676"/>
      <c r="F17" s="130"/>
      <c r="G17" s="678"/>
      <c r="H17" s="53"/>
      <c r="I17" s="62"/>
      <c r="J17" s="65"/>
      <c r="K17" s="706" t="s">
        <v>41</v>
      </c>
      <c r="L17" s="53"/>
      <c r="M17" s="738" t="s">
        <v>48</v>
      </c>
      <c r="N17" s="65"/>
      <c r="O17" s="7"/>
    </row>
    <row r="18" spans="1:17" x14ac:dyDescent="0.2">
      <c r="A18" s="62"/>
      <c r="B18" s="65"/>
      <c r="C18" s="57"/>
      <c r="D18" s="53"/>
      <c r="E18" s="676"/>
      <c r="F18" s="130"/>
      <c r="G18" s="678"/>
      <c r="H18" s="53"/>
      <c r="I18" s="62"/>
      <c r="J18" s="65"/>
      <c r="K18" s="707" t="str">
        <f>HYPERLINK("https://kaart.delfi.ee/?bookmark=73a75c2d8ed4a34c764e205c87288d20","Harku, Pikk 19")</f>
        <v>Harku, Pikk 19</v>
      </c>
      <c r="L18" s="821"/>
      <c r="M18" s="705" t="str">
        <f>HYPERLINK("https://kaart.delfi.ee/?bookmark=73a75c2d8ed4a34c764e205c87288d20","Harku, Pikk 19")</f>
        <v>Harku, Pikk 19</v>
      </c>
      <c r="N18" s="65"/>
      <c r="O18" s="7"/>
    </row>
    <row r="19" spans="1:17" x14ac:dyDescent="0.2">
      <c r="A19" s="62"/>
      <c r="B19" s="65"/>
      <c r="C19" s="57"/>
      <c r="D19" s="53"/>
      <c r="E19" s="676"/>
      <c r="F19" s="130"/>
      <c r="G19" s="678"/>
      <c r="H19" s="53"/>
      <c r="I19" s="62"/>
      <c r="J19" s="65"/>
      <c r="K19" s="949" t="str">
        <f>HYPERLINK("#V1!A5","Voka VIII KV")</f>
        <v>Voka VIII KV</v>
      </c>
      <c r="L19" s="822"/>
      <c r="M19" s="676"/>
      <c r="N19" s="65"/>
      <c r="O19" s="7"/>
      <c r="P19" s="777"/>
    </row>
    <row r="20" spans="1:17" x14ac:dyDescent="0.2">
      <c r="A20" s="62"/>
      <c r="B20" s="65"/>
      <c r="C20" s="57"/>
      <c r="D20" s="53"/>
      <c r="E20" s="67"/>
      <c r="F20" s="130"/>
      <c r="G20" s="680"/>
      <c r="H20" s="53"/>
      <c r="I20" s="62"/>
      <c r="J20" s="65"/>
      <c r="K20" s="732" t="s">
        <v>40</v>
      </c>
      <c r="L20" s="823"/>
      <c r="M20" s="67"/>
      <c r="N20" s="65"/>
      <c r="O20" s="7"/>
    </row>
    <row r="21" spans="1:17" ht="13.5" thickBot="1" x14ac:dyDescent="0.25">
      <c r="A21" s="690"/>
      <c r="B21" s="69"/>
      <c r="C21" s="604"/>
      <c r="D21" s="155"/>
      <c r="E21" s="681"/>
      <c r="F21" s="69"/>
      <c r="G21" s="604"/>
      <c r="H21" s="604"/>
      <c r="I21" s="690"/>
      <c r="J21" s="69"/>
      <c r="K21" s="733" t="str">
        <f>HYPERLINK("https://kaart.delfi.ee//?bookmark=ebd616e171f4882941c876d5ba118858","Voka")</f>
        <v>Voka</v>
      </c>
      <c r="L21" s="824"/>
      <c r="M21" s="681"/>
      <c r="N21" s="684"/>
      <c r="O21" s="70"/>
    </row>
    <row r="22" spans="1:17" x14ac:dyDescent="0.2">
      <c r="A22" s="820"/>
      <c r="B22" s="60">
        <v>10</v>
      </c>
      <c r="C22" s="731"/>
      <c r="D22" s="92">
        <v>11</v>
      </c>
      <c r="E22" s="708"/>
      <c r="F22" s="60">
        <v>12</v>
      </c>
      <c r="G22" s="685" t="str">
        <f>HYPERLINK("#1!A5","K-Järve 20. KV")</f>
        <v>K-Järve 20. KV</v>
      </c>
      <c r="H22" s="92">
        <v>13</v>
      </c>
      <c r="I22" s="820"/>
      <c r="J22" s="60">
        <v>14</v>
      </c>
      <c r="K22" s="938" t="str">
        <f>HYPERLINK("https://www.petanque.ee/index.php?id=103589&amp;cid=796","4. Klubide sari 2.etapp")</f>
        <v>4. Klubide sari 2.etapp</v>
      </c>
      <c r="L22" s="92">
        <v>15</v>
      </c>
      <c r="M22" s="737" t="str">
        <f>HYPERLINK("https://www.petanque.ee/index.php?id=103589&amp;cid=797","Eesti sise-MV")</f>
        <v>Eesti sise-MV</v>
      </c>
      <c r="N22" s="60">
        <v>16</v>
      </c>
      <c r="O22" s="42"/>
      <c r="P22" s="777"/>
      <c r="Q22" s="778"/>
    </row>
    <row r="23" spans="1:17" x14ac:dyDescent="0.2">
      <c r="A23" s="102"/>
      <c r="B23" s="65"/>
      <c r="C23" s="57"/>
      <c r="D23" s="53"/>
      <c r="E23" s="689"/>
      <c r="F23" s="65"/>
      <c r="G23" s="686" t="s">
        <v>39</v>
      </c>
      <c r="H23" s="77"/>
      <c r="I23" s="62"/>
      <c r="J23" s="65"/>
      <c r="K23" s="706" t="s">
        <v>41</v>
      </c>
      <c r="L23" s="53"/>
      <c r="M23" s="738" t="s">
        <v>52</v>
      </c>
      <c r="N23" s="100"/>
      <c r="O23" s="42"/>
    </row>
    <row r="24" spans="1:17" x14ac:dyDescent="0.2">
      <c r="A24" s="102"/>
      <c r="B24" s="65"/>
      <c r="C24" s="57"/>
      <c r="D24" s="53"/>
      <c r="E24" s="689"/>
      <c r="F24" s="65"/>
      <c r="G24" s="687" t="str">
        <f>HYPERLINK("https://kaart.delfi.ee/?bookmark=521b80d6ceeefbe3e5d227267242b576","K-Järve")</f>
        <v>K-Järve</v>
      </c>
      <c r="H24" s="77"/>
      <c r="I24" s="102"/>
      <c r="J24" s="65"/>
      <c r="K24" s="734" t="str">
        <f>HYPERLINK("https://kaart.delfi.ee/?bookmark=73a75c2d8ed4a34c764e205c87288d20","Harku, Pikk 19")</f>
        <v>Harku, Pikk 19</v>
      </c>
      <c r="L24" s="825"/>
      <c r="M24" s="705" t="str">
        <f>HYPERLINK("https://kaart.delfi.ee/?bookmark=73a75c2d8ed4a34c764e205c87288d20","Harku, Pikk 19")</f>
        <v>Harku, Pikk 19</v>
      </c>
      <c r="N24" s="100"/>
      <c r="O24" s="42"/>
    </row>
    <row r="25" spans="1:17" x14ac:dyDescent="0.2">
      <c r="A25" s="102"/>
      <c r="B25" s="65"/>
      <c r="C25" s="57"/>
      <c r="D25" s="53"/>
      <c r="E25" s="689"/>
      <c r="F25" s="65"/>
      <c r="G25" s="687"/>
      <c r="H25" s="77"/>
      <c r="I25" s="102"/>
      <c r="J25" s="65"/>
      <c r="K25" s="735" t="str">
        <f>HYPERLINK("#2!A5","Ida-Virumaa MV")</f>
        <v>Ida-Virumaa MV</v>
      </c>
      <c r="L25" s="826">
        <v>8</v>
      </c>
      <c r="M25" s="705"/>
      <c r="N25" s="100"/>
      <c r="O25" s="42"/>
      <c r="P25" s="777"/>
    </row>
    <row r="26" spans="1:17" x14ac:dyDescent="0.2">
      <c r="A26" s="102"/>
      <c r="B26" s="65"/>
      <c r="C26" s="57"/>
      <c r="D26" s="53"/>
      <c r="E26" s="689"/>
      <c r="F26" s="65"/>
      <c r="G26" s="687"/>
      <c r="H26" s="77"/>
      <c r="I26" s="102"/>
      <c r="J26" s="65"/>
      <c r="K26" s="694" t="s">
        <v>45</v>
      </c>
      <c r="L26" s="77"/>
      <c r="M26" s="705"/>
      <c r="N26" s="100"/>
      <c r="O26" s="42"/>
    </row>
    <row r="27" spans="1:17" ht="13.5" thickBot="1" x14ac:dyDescent="0.25">
      <c r="A27" s="102"/>
      <c r="B27" s="65"/>
      <c r="C27" s="57"/>
      <c r="D27" s="53"/>
      <c r="E27" s="695"/>
      <c r="F27" s="65"/>
      <c r="G27" s="687"/>
      <c r="H27" s="77"/>
      <c r="I27" s="107"/>
      <c r="J27" s="98"/>
      <c r="K27" s="838" t="str">
        <f>HYPERLINK("https://kaart.delfi.ee//?bookmark=ebd616e171f4882941c876d5ba118858","Voka staadion")</f>
        <v>Voka staadion</v>
      </c>
      <c r="L27" s="722"/>
      <c r="M27" s="705"/>
      <c r="N27" s="100"/>
      <c r="O27" s="42"/>
    </row>
    <row r="28" spans="1:17" x14ac:dyDescent="0.2">
      <c r="A28" s="104"/>
      <c r="B28" s="105">
        <v>17</v>
      </c>
      <c r="C28" s="116"/>
      <c r="D28" s="61">
        <v>18</v>
      </c>
      <c r="E28" s="948" t="str">
        <f>HYPERLINK("#V2!A5","Voka VIII KV")</f>
        <v>Voka VIII KV</v>
      </c>
      <c r="F28" s="105">
        <v>19</v>
      </c>
      <c r="G28" s="116"/>
      <c r="H28" s="61">
        <v>20</v>
      </c>
      <c r="I28" s="104"/>
      <c r="J28" s="105">
        <v>21</v>
      </c>
      <c r="K28" s="116"/>
      <c r="L28" s="90">
        <v>22</v>
      </c>
      <c r="M28" s="692" t="str">
        <f>HYPERLINK("#3!A5","Toila valla lahtised MV")</f>
        <v>Toila valla lahtised MV</v>
      </c>
      <c r="N28" s="105">
        <v>23</v>
      </c>
      <c r="O28" s="42"/>
      <c r="P28" s="777"/>
    </row>
    <row r="29" spans="1:17" x14ac:dyDescent="0.2">
      <c r="A29" s="102"/>
      <c r="B29" s="65"/>
      <c r="C29" s="57"/>
      <c r="D29" s="53"/>
      <c r="E29" s="664" t="s">
        <v>42</v>
      </c>
      <c r="F29" s="688"/>
      <c r="G29" s="57"/>
      <c r="H29" s="53"/>
      <c r="I29" s="102"/>
      <c r="J29" s="65"/>
      <c r="K29" s="57"/>
      <c r="L29" s="156"/>
      <c r="M29" s="959" t="s">
        <v>44</v>
      </c>
      <c r="N29" s="101"/>
      <c r="O29" s="42"/>
      <c r="P29" s="777"/>
    </row>
    <row r="30" spans="1:17" ht="13.5" thickBot="1" x14ac:dyDescent="0.25">
      <c r="A30" s="107"/>
      <c r="B30" s="108"/>
      <c r="C30" s="78"/>
      <c r="D30" s="78"/>
      <c r="E30" s="665" t="str">
        <f>HYPERLINK("https://kaart.delfi.ee//?bookmark=ebd616e171f4882941c876d5ba118858","Voka")</f>
        <v>Voka</v>
      </c>
      <c r="F30" s="696"/>
      <c r="G30" s="78"/>
      <c r="H30" s="74"/>
      <c r="I30" s="107"/>
      <c r="J30" s="108"/>
      <c r="K30" s="78"/>
      <c r="L30" s="960"/>
      <c r="M30" s="838" t="str">
        <f>HYPERLINK("https://kaart.delfi.ee//?bookmark=ebd616e171f4882941c876d5ba118858","Voka staadion")</f>
        <v>Voka staadion</v>
      </c>
      <c r="N30" s="698"/>
      <c r="O30" s="42"/>
    </row>
    <row r="31" spans="1:17" x14ac:dyDescent="0.2">
      <c r="A31" s="102"/>
      <c r="B31" s="63">
        <v>24</v>
      </c>
      <c r="C31" s="57"/>
      <c r="D31" s="54">
        <v>25</v>
      </c>
      <c r="E31" s="102"/>
      <c r="F31" s="63">
        <v>26</v>
      </c>
      <c r="G31" s="682"/>
      <c r="H31" s="54">
        <v>27</v>
      </c>
      <c r="I31" s="717"/>
      <c r="J31" s="63">
        <v>28</v>
      </c>
      <c r="K31" s="939" t="str">
        <f>HYPERLINK("https://www.petanque.ee/index.php?id=103809&amp;cid=802","4. Klubide sari 3.etapp")</f>
        <v>4. Klubide sari 3.etapp</v>
      </c>
      <c r="L31" s="54">
        <v>29</v>
      </c>
      <c r="M31" s="829" t="str">
        <f>HYPERLINK("https://www.petanque.ee/index.php?id=103809&amp;cid=790","Eesti Masters 2021")</f>
        <v>Eesti Masters 2021</v>
      </c>
      <c r="N31" s="63">
        <v>30</v>
      </c>
      <c r="O31" s="42"/>
      <c r="Q31" s="778"/>
    </row>
    <row r="32" spans="1:17" x14ac:dyDescent="0.2">
      <c r="A32" s="102"/>
      <c r="B32" s="65"/>
      <c r="C32" s="57"/>
      <c r="D32" s="53"/>
      <c r="E32" s="102"/>
      <c r="F32" s="65"/>
      <c r="G32" s="57"/>
      <c r="H32" s="697"/>
      <c r="I32" s="736"/>
      <c r="J32" s="65"/>
      <c r="K32" s="706" t="s">
        <v>41</v>
      </c>
      <c r="L32" s="53"/>
      <c r="M32" s="830" t="s">
        <v>44</v>
      </c>
      <c r="N32" s="65"/>
      <c r="O32" s="42"/>
    </row>
    <row r="33" spans="1:20" x14ac:dyDescent="0.2">
      <c r="A33" s="102"/>
      <c r="B33" s="65"/>
      <c r="C33" s="57"/>
      <c r="D33" s="53"/>
      <c r="E33" s="102"/>
      <c r="F33" s="65"/>
      <c r="G33" s="57"/>
      <c r="H33" s="697"/>
      <c r="I33" s="736"/>
      <c r="J33" s="65"/>
      <c r="K33" s="770" t="str">
        <f>HYPERLINK("https://kaart.delfi.ee/?bookmark=73a75c2d8ed4a34c764e205c87288d20","Harku, Pikk 19")</f>
        <v>Harku, Pikk 19</v>
      </c>
      <c r="L33" s="821"/>
      <c r="M33" s="831" t="str">
        <f>HYPERLINK("https://kaart.delfi.ee/?bookmark=73a75c2d8ed4a34c764e205c87288d20","Harku, Pikk 19")</f>
        <v>Harku, Pikk 19</v>
      </c>
      <c r="N33" s="769"/>
      <c r="O33" s="42"/>
    </row>
    <row r="34" spans="1:20" x14ac:dyDescent="0.2">
      <c r="A34" s="102"/>
      <c r="B34" s="65"/>
      <c r="C34" s="57"/>
      <c r="D34" s="53"/>
      <c r="E34" s="102"/>
      <c r="F34" s="65"/>
      <c r="G34" s="57"/>
      <c r="H34" s="697"/>
      <c r="I34" s="736"/>
      <c r="J34" s="65"/>
      <c r="K34" s="818" t="str">
        <f>HYPERLINK("#4!A5","Toila valla lahtised MV")</f>
        <v>Toila valla lahtised MV</v>
      </c>
      <c r="L34" s="827"/>
      <c r="M34" s="102"/>
      <c r="N34" s="699"/>
      <c r="O34" s="42"/>
    </row>
    <row r="35" spans="1:20" x14ac:dyDescent="0.2">
      <c r="A35" s="102"/>
      <c r="B35" s="65"/>
      <c r="C35" s="57"/>
      <c r="D35" s="53"/>
      <c r="E35" s="102"/>
      <c r="F35" s="65"/>
      <c r="G35" s="57"/>
      <c r="H35" s="697"/>
      <c r="I35" s="736"/>
      <c r="J35" s="65"/>
      <c r="K35" s="739" t="s">
        <v>45</v>
      </c>
      <c r="L35" s="819"/>
      <c r="M35" s="102"/>
      <c r="N35" s="699"/>
      <c r="O35" s="42"/>
    </row>
    <row r="36" spans="1:20" ht="13.5" thickBot="1" x14ac:dyDescent="0.25">
      <c r="A36" s="690"/>
      <c r="B36" s="69"/>
      <c r="C36" s="155"/>
      <c r="D36" s="700"/>
      <c r="E36" s="690"/>
      <c r="F36" s="69"/>
      <c r="G36" s="155"/>
      <c r="H36" s="701"/>
      <c r="I36" s="690"/>
      <c r="J36" s="69"/>
      <c r="K36" s="838" t="str">
        <f>HYPERLINK("https://kaart.delfi.ee//?bookmark=ebd616e171f4882941c876d5ba118858","Voka staadion")</f>
        <v>Voka staadion</v>
      </c>
      <c r="L36" s="828"/>
      <c r="M36" s="702"/>
      <c r="N36" s="69"/>
      <c r="O36" s="42"/>
    </row>
    <row r="37" spans="1:20" ht="13.5" thickBot="1" x14ac:dyDescent="0.25">
      <c r="A37" s="50" t="s">
        <v>350</v>
      </c>
      <c r="B37" s="51"/>
      <c r="C37" s="52"/>
      <c r="O37" s="42"/>
    </row>
    <row r="38" spans="1:20" x14ac:dyDescent="0.2">
      <c r="A38" s="79"/>
      <c r="B38" s="87">
        <v>31</v>
      </c>
      <c r="C38" s="116"/>
      <c r="D38" s="61">
        <v>1</v>
      </c>
      <c r="E38" s="666" t="str">
        <f>HYPERLINK("#V3!A5","Voka VIII KV")</f>
        <v>Voka VIII KV</v>
      </c>
      <c r="F38" s="90">
        <v>2</v>
      </c>
      <c r="G38" s="692" t="str">
        <f>HYPERLINK("#5!A5","K-Järve 20. KV")</f>
        <v>K-Järve 20. KV</v>
      </c>
      <c r="H38" s="61">
        <v>3</v>
      </c>
      <c r="I38" s="79"/>
      <c r="J38" s="90">
        <v>4</v>
      </c>
      <c r="K38" s="1005" t="str">
        <f>HYPERLINK("https://www.petanque.ee/index.php?id=103589&amp;cid=812","13. Baltic Cup ?. etapp")</f>
        <v>13. Baltic Cup ?. etapp</v>
      </c>
      <c r="L38" s="61">
        <v>5</v>
      </c>
      <c r="M38" s="671" t="str">
        <f>HYPERLINK("#6!A5","K-Järve 20. KV")</f>
        <v>K-Järve 20. KV</v>
      </c>
      <c r="N38" s="90">
        <v>6</v>
      </c>
      <c r="O38" s="42"/>
      <c r="P38" s="777"/>
    </row>
    <row r="39" spans="1:20" x14ac:dyDescent="0.2">
      <c r="A39" s="71"/>
      <c r="B39" s="91"/>
      <c r="C39" s="57"/>
      <c r="D39" s="53"/>
      <c r="E39" s="667" t="s">
        <v>46</v>
      </c>
      <c r="F39" s="72"/>
      <c r="G39" s="686" t="s">
        <v>42</v>
      </c>
      <c r="H39" s="77"/>
      <c r="I39" s="71"/>
      <c r="J39" s="66"/>
      <c r="K39" s="1006" t="s">
        <v>43</v>
      </c>
      <c r="L39" s="53"/>
      <c r="M39" s="670" t="s">
        <v>47</v>
      </c>
      <c r="N39" s="112"/>
      <c r="O39" s="42"/>
      <c r="P39" s="777"/>
    </row>
    <row r="40" spans="1:20" ht="13.5" thickBot="1" x14ac:dyDescent="0.25">
      <c r="A40" s="124"/>
      <c r="B40" s="126"/>
      <c r="C40" s="78"/>
      <c r="D40" s="78"/>
      <c r="E40" s="85" t="str">
        <f>HYPERLINK("https://kaart.delfi.ee//?bookmark=ebd616e171f4882941c876d5ba118858","Voka")</f>
        <v>Voka</v>
      </c>
      <c r="F40" s="142"/>
      <c r="G40" s="687" t="str">
        <f>HYPERLINK("https://kaart.delfi.ee/?bookmark=521b80d6ceeefbe3e5d227267242b576","K-Järve")</f>
        <v>K-Järve</v>
      </c>
      <c r="H40" s="77"/>
      <c r="I40" s="71"/>
      <c r="J40" s="84"/>
      <c r="K40" s="771" t="str">
        <f>HYPERLINK("https://kaart.delfi.ee/?bookmark=037591353bf9698628b723dab6c5e799","Valga")</f>
        <v>Valga</v>
      </c>
      <c r="L40" s="148"/>
      <c r="M40" s="669" t="str">
        <f>HYPERLINK("https://kaart.delfi.ee/?bookmark=521b80d6ceeefbe3e5d227267242b576","K-Järve")</f>
        <v>K-Järve</v>
      </c>
      <c r="N40" s="112"/>
      <c r="O40" s="42"/>
      <c r="P40" s="777"/>
    </row>
    <row r="41" spans="1:20" ht="13.5" thickTop="1" x14ac:dyDescent="0.2">
      <c r="A41" s="71"/>
      <c r="B41" s="54">
        <v>7</v>
      </c>
      <c r="C41" s="79"/>
      <c r="D41" s="61">
        <v>8</v>
      </c>
      <c r="E41" s="726"/>
      <c r="F41" s="90">
        <v>9</v>
      </c>
      <c r="G41" s="726"/>
      <c r="H41" s="61">
        <v>10</v>
      </c>
      <c r="I41" s="79"/>
      <c r="J41" s="93">
        <v>11</v>
      </c>
      <c r="K41" s="874" t="str">
        <f>HYPERLINK("https://www.petanque.ee/index.php?id=103809&amp;cid=815","8. Viru karikas")</f>
        <v>8. Viru karikas</v>
      </c>
      <c r="L41" s="92">
        <v>12</v>
      </c>
      <c r="M41" s="877" t="str">
        <f>HYPERLINK("https://www.petanque.ee/index.php?id=103809&amp;cid=816","8. Viru karikas")</f>
        <v>8. Viru karikas</v>
      </c>
      <c r="N41" s="93">
        <v>13</v>
      </c>
      <c r="O41" s="42"/>
      <c r="Q41" s="778"/>
    </row>
    <row r="42" spans="1:20" x14ac:dyDescent="0.2">
      <c r="A42" s="71"/>
      <c r="B42" s="53"/>
      <c r="C42" s="71"/>
      <c r="D42" s="53"/>
      <c r="E42" s="138"/>
      <c r="F42" s="66"/>
      <c r="G42" s="138"/>
      <c r="H42" s="53"/>
      <c r="I42" s="71"/>
      <c r="J42" s="66"/>
      <c r="K42" s="875" t="s">
        <v>45</v>
      </c>
      <c r="L42" s="882"/>
      <c r="M42" s="878" t="s">
        <v>44</v>
      </c>
      <c r="N42" s="880"/>
      <c r="O42" s="42"/>
    </row>
    <row r="43" spans="1:20" ht="13.5" thickBot="1" x14ac:dyDescent="0.25">
      <c r="A43" s="73"/>
      <c r="B43" s="74"/>
      <c r="C43" s="73"/>
      <c r="D43" s="74"/>
      <c r="E43" s="141"/>
      <c r="F43" s="97"/>
      <c r="G43" s="141"/>
      <c r="H43" s="96"/>
      <c r="I43" s="73"/>
      <c r="J43" s="109"/>
      <c r="K43" s="876" t="str">
        <f>HYPERLINK("https://kaart.delfi.ee/?bookmark=521b80d6ceeefbe3e5d227267242b576","K-Järve")</f>
        <v>K-Järve</v>
      </c>
      <c r="L43" s="883"/>
      <c r="M43" s="879" t="str">
        <f>HYPERLINK("https://kaart.delfi.ee/?bookmark=521b80d6ceeefbe3e5d227267242b576","K-Järve")</f>
        <v>K-Järve</v>
      </c>
      <c r="N43" s="881"/>
      <c r="O43" s="42"/>
    </row>
    <row r="44" spans="1:20" x14ac:dyDescent="0.2">
      <c r="A44" s="79"/>
      <c r="B44" s="61">
        <v>14</v>
      </c>
      <c r="C44" s="80"/>
      <c r="D44" s="61">
        <v>15</v>
      </c>
      <c r="E44" s="666" t="str">
        <f>HYPERLINK("#V4!A5","Voka VIII KV")</f>
        <v>Voka VIII KV</v>
      </c>
      <c r="F44" s="90">
        <v>16</v>
      </c>
      <c r="G44" s="79"/>
      <c r="H44" s="114">
        <v>17</v>
      </c>
      <c r="I44" s="79"/>
      <c r="J44" s="90">
        <v>18</v>
      </c>
      <c r="K44" s="951" t="str">
        <f>HYPERLINK("#7!A5","Toila valla lahtis. MV")</f>
        <v>Toila valla lahtis. MV</v>
      </c>
      <c r="L44" s="61">
        <v>19</v>
      </c>
      <c r="M44" s="779" t="str">
        <f>HYPERLINK("https://www.petanque.ee/index.php?id=103809&amp;cid=807","17. Tartu vaim")</f>
        <v>17. Tartu vaim</v>
      </c>
      <c r="N44" s="90">
        <v>20</v>
      </c>
      <c r="O44" s="58"/>
      <c r="P44" s="777"/>
      <c r="Q44" s="778"/>
    </row>
    <row r="45" spans="1:20" x14ac:dyDescent="0.2">
      <c r="A45" s="71"/>
      <c r="B45" s="57"/>
      <c r="C45" s="71"/>
      <c r="D45" s="57"/>
      <c r="E45" s="667" t="s">
        <v>49</v>
      </c>
      <c r="F45" s="729"/>
      <c r="G45" s="71"/>
      <c r="H45" s="84"/>
      <c r="I45" s="71"/>
      <c r="J45" s="84"/>
      <c r="K45" s="834" t="s">
        <v>48</v>
      </c>
      <c r="L45" s="835"/>
      <c r="M45" s="64" t="s">
        <v>414</v>
      </c>
      <c r="N45" s="84"/>
      <c r="O45" s="58"/>
      <c r="P45" s="777"/>
    </row>
    <row r="46" spans="1:20" ht="13.5" thickBot="1" x14ac:dyDescent="0.25">
      <c r="A46" s="71"/>
      <c r="B46" s="57"/>
      <c r="C46" s="94"/>
      <c r="D46" s="57"/>
      <c r="E46" s="82" t="str">
        <f>HYPERLINK("https://kaart.delfi.ee//?bookmark=ebd616e171f4882941c876d5ba118858","Voka")</f>
        <v>Voka</v>
      </c>
      <c r="F46" s="729"/>
      <c r="G46" s="71"/>
      <c r="H46" s="84"/>
      <c r="I46" s="71"/>
      <c r="J46" s="84"/>
      <c r="K46" s="837" t="str">
        <f>HYPERLINK("https://kaart.delfi.ee//?bookmark=ebd616e171f4882941c876d5ba118858","Voka staadion")</f>
        <v>Voka staadion</v>
      </c>
      <c r="L46" s="836"/>
      <c r="M46" s="772" t="str">
        <f>HYPERLINK("http://kaart.delfi.ee/?bookmark=d9da63566809feae32e6ca75683e42cd","Tartu, Lossi 25")</f>
        <v>Tartu, Lossi 25</v>
      </c>
      <c r="N46" s="84"/>
      <c r="O46" s="42"/>
    </row>
    <row r="47" spans="1:20" x14ac:dyDescent="0.2">
      <c r="A47" s="79"/>
      <c r="B47" s="61">
        <v>21</v>
      </c>
      <c r="C47" s="842"/>
      <c r="D47" s="114">
        <v>22</v>
      </c>
      <c r="E47" s="103"/>
      <c r="F47" s="90">
        <v>23</v>
      </c>
      <c r="G47" s="727"/>
      <c r="H47" s="61">
        <v>24</v>
      </c>
      <c r="I47" s="79"/>
      <c r="J47" s="90">
        <v>25</v>
      </c>
      <c r="K47" s="957" t="str">
        <f>HYPERLINK("https://www.petanque.ee/index.php?id=103809&amp;cid=817","1. Tõrva Cup")</f>
        <v>1. Tõrva Cup</v>
      </c>
      <c r="L47" s="92">
        <v>26</v>
      </c>
      <c r="M47" s="779" t="str">
        <f>HYPERLINK("https://www.petanque.ee/index.php?id=103809&amp;cid=859","1. Tõrva Cup")</f>
        <v>1. Tõrva Cup</v>
      </c>
      <c r="N47" s="90">
        <v>27</v>
      </c>
      <c r="O47" s="42"/>
      <c r="P47" s="777"/>
      <c r="Q47" s="778"/>
      <c r="S47" s="677" t="s">
        <v>20</v>
      </c>
      <c r="T47" s="90">
        <v>27</v>
      </c>
    </row>
    <row r="48" spans="1:20" x14ac:dyDescent="0.2">
      <c r="A48" s="71"/>
      <c r="B48" s="57"/>
      <c r="C48" s="669" t="str">
        <f>HYPERLINK("#8!A5","I-Virumaa")</f>
        <v>I-Virumaa</v>
      </c>
      <c r="D48" s="112"/>
      <c r="E48" s="99"/>
      <c r="F48" s="84"/>
      <c r="G48" s="703"/>
      <c r="H48" s="57"/>
      <c r="I48" s="71"/>
      <c r="J48" s="84"/>
      <c r="K48" s="697" t="s">
        <v>45</v>
      </c>
      <c r="L48" s="57"/>
      <c r="M48" s="768" t="s">
        <v>44</v>
      </c>
      <c r="N48" s="84"/>
      <c r="O48" s="42"/>
      <c r="Q48" s="773">
        <v>44369</v>
      </c>
      <c r="S48" s="730" t="s">
        <v>50</v>
      </c>
      <c r="T48" s="111"/>
    </row>
    <row r="49" spans="1:20" x14ac:dyDescent="0.2">
      <c r="A49" s="71"/>
      <c r="B49" s="57"/>
      <c r="C49" s="761" t="s">
        <v>400</v>
      </c>
      <c r="D49" s="112"/>
      <c r="E49" s="840"/>
      <c r="F49" s="84"/>
      <c r="G49" s="757"/>
      <c r="H49" s="57"/>
      <c r="I49" s="71"/>
      <c r="J49" s="84"/>
      <c r="K49" s="964" t="str">
        <f>HYPERLINK("https://kaart.delfi.ee/?bookmark=1779b9f3de5825fbacb56aa45d999aab","Tõrva, Puiestee 1")</f>
        <v>Tõrva, Puiestee 1</v>
      </c>
      <c r="L49" s="811"/>
      <c r="M49" s="845" t="str">
        <f>HYPERLINK("https://kaart.delfi.ee/?bookmark=1779b9f3de5825fbacb56aa45d999aab","Tõrva, Puiestee 1")</f>
        <v>Tõrva, Puiestee 1</v>
      </c>
      <c r="N49" s="811"/>
      <c r="O49" s="42"/>
      <c r="Q49" t="s">
        <v>415</v>
      </c>
      <c r="S49" s="759" t="str">
        <f>HYPERLINK("https://kaart.delfi.ee//?bookmark=ebd616e171f4882941c876d5ba118858","Voka")</f>
        <v>Voka</v>
      </c>
      <c r="T49" s="111"/>
    </row>
    <row r="50" spans="1:20" x14ac:dyDescent="0.2">
      <c r="A50" s="71"/>
      <c r="B50" s="57"/>
      <c r="C50" s="131" t="s">
        <v>52</v>
      </c>
      <c r="D50" s="112"/>
      <c r="E50" s="840"/>
      <c r="F50" s="84"/>
      <c r="G50" s="840"/>
      <c r="H50" s="57"/>
      <c r="I50" s="71"/>
      <c r="J50" s="84"/>
      <c r="K50" s="956" t="str">
        <f>HYPERLINK("https://webzone.ee/petankt/tabelid/esl-2021.xlsx","18. ESL individ-võistk")</f>
        <v>18. ESL individ-võistk</v>
      </c>
      <c r="L50" s="961"/>
      <c r="M50" s="846" t="str">
        <f>HYPERLINK("#Mu!H1","Toila valla lahtised MV")</f>
        <v>Toila valla lahtised MV</v>
      </c>
      <c r="N50" s="847"/>
      <c r="O50" s="42"/>
      <c r="P50" s="777"/>
      <c r="Q50" s="778" t="s">
        <v>428</v>
      </c>
      <c r="S50" s="839"/>
      <c r="T50" s="111"/>
    </row>
    <row r="51" spans="1:20" x14ac:dyDescent="0.2">
      <c r="A51" s="71"/>
      <c r="B51" s="57"/>
      <c r="C51" s="669" t="str">
        <f>HYPERLINK("https://kaart.delfi.ee/?bookmark=521b80d6ceeefbe3e5d227267242b576","K-Järve")</f>
        <v>K-Järve</v>
      </c>
      <c r="D51" s="112"/>
      <c r="E51" s="840"/>
      <c r="F51" s="84"/>
      <c r="G51" s="840"/>
      <c r="H51" s="57"/>
      <c r="I51" s="71"/>
      <c r="J51" s="84"/>
      <c r="K51" s="57" t="s">
        <v>427</v>
      </c>
      <c r="L51" s="57"/>
      <c r="M51" s="962" t="s">
        <v>429</v>
      </c>
      <c r="N51" s="111"/>
      <c r="O51" s="42"/>
      <c r="S51" s="839"/>
      <c r="T51" s="111"/>
    </row>
    <row r="52" spans="1:20" ht="13.5" thickBot="1" x14ac:dyDescent="0.25">
      <c r="A52" s="73"/>
      <c r="B52" s="78"/>
      <c r="C52" s="841"/>
      <c r="D52" s="115"/>
      <c r="E52" s="106"/>
      <c r="F52" s="109"/>
      <c r="G52" s="106"/>
      <c r="H52" s="78"/>
      <c r="I52" s="73"/>
      <c r="J52" s="109"/>
      <c r="K52" s="843" t="str">
        <f>HYPERLINK("http://kaart.delfi.ee//?bookmark=ebd616e171f4882941c876d5ba118858","Voka staadion")</f>
        <v>Voka staadion</v>
      </c>
      <c r="L52" s="78"/>
      <c r="M52" s="963" t="str">
        <f>HYPERLINK("https://kaart.delfi.ee/?bookmark=63ebb20d0f5732aa12acf360e2b986df","Voka staadion")</f>
        <v>Voka staadion</v>
      </c>
      <c r="N52" s="693"/>
      <c r="O52" s="42"/>
      <c r="S52" s="760"/>
      <c r="T52" s="693"/>
    </row>
    <row r="53" spans="1:20" ht="13.5" thickBot="1" x14ac:dyDescent="0.25">
      <c r="A53" s="113" t="s">
        <v>352</v>
      </c>
      <c r="B53" s="51"/>
      <c r="C53" s="52"/>
    </row>
    <row r="54" spans="1:20" x14ac:dyDescent="0.2">
      <c r="A54" s="79"/>
      <c r="B54" s="90">
        <v>28</v>
      </c>
      <c r="C54" s="116"/>
      <c r="D54" s="61">
        <v>29</v>
      </c>
      <c r="E54" s="666" t="str">
        <f>HYPERLINK("#V5!A5","Voka VIII KV")</f>
        <v>Voka VIII KV</v>
      </c>
      <c r="F54" s="90">
        <v>30</v>
      </c>
      <c r="G54" s="116"/>
      <c r="H54" s="87">
        <v>1</v>
      </c>
      <c r="I54" s="950" t="str">
        <f>HYPERLINK("https://www.petanque.ee/index.php?id=103589&amp;cid=818","21.Eesti MV")</f>
        <v>21.Eesti MV</v>
      </c>
      <c r="J54" s="90">
        <v>2</v>
      </c>
      <c r="K54" s="718" t="str">
        <f>HYPERLINK("https://www.petanque.ee/index.php?id=103809&amp;cid=819","31. Eesti MV")</f>
        <v>31. Eesti MV</v>
      </c>
      <c r="L54" s="61">
        <v>3</v>
      </c>
      <c r="M54" s="79"/>
      <c r="N54" s="90">
        <v>4</v>
      </c>
      <c r="O54" s="42"/>
      <c r="P54" s="777"/>
      <c r="Q54" s="778" t="s">
        <v>419</v>
      </c>
    </row>
    <row r="55" spans="1:20" x14ac:dyDescent="0.2">
      <c r="A55" s="71"/>
      <c r="B55" s="66"/>
      <c r="C55" s="57"/>
      <c r="D55" s="53"/>
      <c r="E55" s="667" t="s">
        <v>53</v>
      </c>
      <c r="F55" s="729"/>
      <c r="G55" s="57"/>
      <c r="H55" s="91"/>
      <c r="I55" s="53" t="s">
        <v>52</v>
      </c>
      <c r="J55" s="66"/>
      <c r="K55" s="53" t="s">
        <v>45</v>
      </c>
      <c r="L55" s="603"/>
      <c r="M55" s="71"/>
      <c r="N55" s="66"/>
      <c r="O55" s="42"/>
    </row>
    <row r="56" spans="1:20" ht="13.5" thickBot="1" x14ac:dyDescent="0.25">
      <c r="A56" s="124"/>
      <c r="B56" s="844"/>
      <c r="C56" s="125"/>
      <c r="D56" s="807"/>
      <c r="E56" s="885" t="str">
        <f>HYPERLINK("https://kaart.delfi.ee//?bookmark=ebd616e171f4882941c876d5ba118858","Voka")</f>
        <v>Voka</v>
      </c>
      <c r="F56" s="848"/>
      <c r="G56" s="125"/>
      <c r="H56" s="126"/>
      <c r="I56" s="719" t="str">
        <f>HYPERLINK("http://kaart.delfi.ee/?bookmark=0eb4bf4e7fb4b30009b7d7543818abd1","Kärdla")</f>
        <v>Kärdla</v>
      </c>
      <c r="J56" s="66"/>
      <c r="K56" s="675" t="str">
        <f>HYPERLINK("http://kaart.delfi.ee/?bookmark=0eb4bf4e7fb4b30009b7d7543818abd1","Kärdla")</f>
        <v>Kärdla</v>
      </c>
      <c r="L56" s="74"/>
      <c r="M56" s="887" t="str">
        <f>HYPERLINK("https://www.mondiallamarseillaiseapetanque.com/","60. Mondial la Marseillaise à Pétanque 04.-07.07.2021")</f>
        <v>60. Mondial la Marseillaise à Pétanque 04.-07.07.2021</v>
      </c>
      <c r="N56" s="886" t="s">
        <v>25</v>
      </c>
      <c r="O56" s="42"/>
    </row>
    <row r="57" spans="1:20" ht="13.5" thickTop="1" x14ac:dyDescent="0.2">
      <c r="A57" s="71"/>
      <c r="B57" s="55">
        <v>5</v>
      </c>
      <c r="C57" s="57"/>
      <c r="D57" s="117">
        <v>6</v>
      </c>
      <c r="E57" s="884" t="str">
        <f>HYPERLINK("#V6!A5","Voka VIII KV")</f>
        <v>Voka VIII KV</v>
      </c>
      <c r="F57" s="55">
        <v>7</v>
      </c>
      <c r="G57" s="687" t="str">
        <f>HYPERLINK("#9!A5","K-Järve 22. MV")</f>
        <v>K-Järve 22. MV</v>
      </c>
      <c r="H57" s="54">
        <v>8</v>
      </c>
      <c r="I57" s="79"/>
      <c r="J57" s="90">
        <v>9</v>
      </c>
      <c r="K57" s="99" t="str">
        <f>HYPERLINK("https://www.petanque.ee/index.php?id=103809&amp;cid=820","15. Eestimaa suve- ")</f>
        <v xml:space="preserve">15. Eestimaa suve- </v>
      </c>
      <c r="L57" s="55">
        <v>10</v>
      </c>
      <c r="M57" s="99" t="str">
        <f>HYPERLINK("https://www.petanque.ee/index.php?id=103809&amp;cid=821","15. Eestimaa suve- ")</f>
        <v xml:space="preserve">15. Eestimaa suve- </v>
      </c>
      <c r="N57" s="55">
        <v>11</v>
      </c>
      <c r="O57" s="42"/>
      <c r="P57" s="777"/>
      <c r="Q57" s="849" t="s">
        <v>418</v>
      </c>
    </row>
    <row r="58" spans="1:20" x14ac:dyDescent="0.2">
      <c r="A58" s="71"/>
      <c r="B58" s="84"/>
      <c r="C58" s="57"/>
      <c r="D58" s="57"/>
      <c r="E58" s="668" t="s">
        <v>57</v>
      </c>
      <c r="F58" s="729"/>
      <c r="G58" s="694" t="s">
        <v>45</v>
      </c>
      <c r="H58" s="721"/>
      <c r="I58" s="71"/>
      <c r="J58" s="66"/>
      <c r="K58" s="71" t="s">
        <v>54</v>
      </c>
      <c r="L58" s="66"/>
      <c r="M58" s="71" t="s">
        <v>54</v>
      </c>
      <c r="N58" s="84"/>
      <c r="O58" s="42"/>
      <c r="P58" s="777"/>
    </row>
    <row r="59" spans="1:20" ht="13.5" thickBot="1" x14ac:dyDescent="0.25">
      <c r="A59" s="73"/>
      <c r="B59" s="109"/>
      <c r="C59" s="78"/>
      <c r="D59" s="109"/>
      <c r="E59" s="725" t="str">
        <f>HYPERLINK("https://kaart.delfi.ee//?bookmark=ebd616e171f4882941c876d5ba118858","Voka")</f>
        <v>Voka</v>
      </c>
      <c r="F59" s="142"/>
      <c r="G59" s="720" t="str">
        <f>HYPERLINK("https://kaart.delfi.ee/?bookmark=521b80d6ceeefbe3e5d227267242b576","K-Järve")</f>
        <v>K-Järve</v>
      </c>
      <c r="H59" s="888"/>
      <c r="I59" s="73"/>
      <c r="J59" s="97"/>
      <c r="K59" s="781" t="s">
        <v>417</v>
      </c>
      <c r="L59" s="97"/>
      <c r="M59" s="781" t="s">
        <v>417</v>
      </c>
      <c r="N59" s="109"/>
      <c r="O59" s="42"/>
    </row>
    <row r="60" spans="1:20" x14ac:dyDescent="0.2">
      <c r="A60" s="71"/>
      <c r="B60" s="55">
        <v>12</v>
      </c>
      <c r="C60" s="57"/>
      <c r="D60" s="54">
        <v>13</v>
      </c>
      <c r="E60" s="691" t="str">
        <f>HYPERLINK("#V7!A5","Voka VIII KV")</f>
        <v>Voka VIII KV</v>
      </c>
      <c r="F60" s="55">
        <v>14</v>
      </c>
      <c r="G60" s="687" t="str">
        <f>HYPERLINK("#10!A5","K-Järve 20. MV")</f>
        <v>K-Järve 20. MV</v>
      </c>
      <c r="H60" s="54">
        <v>15</v>
      </c>
      <c r="I60" s="64"/>
      <c r="J60" s="55">
        <v>16</v>
      </c>
      <c r="K60" s="680" t="str">
        <f>HYPERLINK("https://www.petanque.ee/index.php?id=103809&amp;cid=822","24. Eesti MV")</f>
        <v>24. Eesti MV</v>
      </c>
      <c r="L60" s="54">
        <v>17</v>
      </c>
      <c r="M60" s="716" t="str">
        <f>HYPERLINK("https://www.petanque.ee/index.php?id=103809&amp;cid=823","31. Eesti MV")</f>
        <v>31. Eesti MV</v>
      </c>
      <c r="N60" s="55">
        <v>18</v>
      </c>
      <c r="O60" s="42"/>
      <c r="P60" s="777"/>
      <c r="Q60" s="778" t="s">
        <v>419</v>
      </c>
    </row>
    <row r="61" spans="1:20" x14ac:dyDescent="0.2">
      <c r="A61" s="71"/>
      <c r="B61" s="66"/>
      <c r="C61" s="57"/>
      <c r="D61" s="53"/>
      <c r="E61" s="850" t="s">
        <v>59</v>
      </c>
      <c r="F61" s="72"/>
      <c r="G61" s="77" t="s">
        <v>44</v>
      </c>
      <c r="H61" s="77"/>
      <c r="I61" s="71"/>
      <c r="J61" s="66"/>
      <c r="K61" s="53" t="s">
        <v>55</v>
      </c>
      <c r="L61" s="53"/>
      <c r="M61" s="673" t="s">
        <v>48</v>
      </c>
      <c r="N61" s="66"/>
      <c r="O61" s="7"/>
      <c r="P61" s="777"/>
    </row>
    <row r="62" spans="1:20" ht="13.5" thickBot="1" x14ac:dyDescent="0.25">
      <c r="A62" s="73"/>
      <c r="B62" s="97"/>
      <c r="C62" s="78"/>
      <c r="D62" s="97"/>
      <c r="E62" s="85" t="str">
        <f>HYPERLINK("https://kaart.delfi.ee//?bookmark=ebd616e171f4882941c876d5ba118858","Voka")</f>
        <v>Voka</v>
      </c>
      <c r="F62" s="75"/>
      <c r="G62" s="720" t="str">
        <f>HYPERLINK("https://kaart.delfi.ee/?bookmark=521b80d6ceeefbe3e5d227267242b576","K-Järve")</f>
        <v>K-Järve</v>
      </c>
      <c r="H62" s="722"/>
      <c r="I62" s="73"/>
      <c r="J62" s="97"/>
      <c r="K62" s="724" t="str">
        <f>HYPERLINK("http://kaart.delfi.ee//?bookmark=ebd616e171f4882941c876d5ba118858","Voka staadion")</f>
        <v>Voka staadion</v>
      </c>
      <c r="L62" s="74"/>
      <c r="M62" s="724" t="str">
        <f>HYPERLINK("http://kaart.delfi.ee//?bookmark=ebd616e171f4882941c876d5ba118858","Voka staadion")</f>
        <v>Voka staadion</v>
      </c>
      <c r="N62" s="97"/>
      <c r="O62" s="7"/>
    </row>
    <row r="63" spans="1:20" x14ac:dyDescent="0.2">
      <c r="A63" s="71"/>
      <c r="B63" s="55">
        <v>19</v>
      </c>
      <c r="C63" s="57"/>
      <c r="D63" s="117">
        <v>20</v>
      </c>
      <c r="E63" s="99"/>
      <c r="F63" s="55">
        <v>21</v>
      </c>
      <c r="G63" s="687" t="str">
        <f>HYPERLINK("#11!A5","K-Järve 22. MV")</f>
        <v>K-Järve 22. MV</v>
      </c>
      <c r="H63" s="54">
        <v>22</v>
      </c>
      <c r="I63" s="71"/>
      <c r="J63" s="55">
        <v>23</v>
      </c>
      <c r="K63" s="680" t="str">
        <f>HYPERLINK("https://www.petanque.ee/index.php?id=103809&amp;cid=824","3. Eesti MV 55+")</f>
        <v>3. Eesti MV 55+</v>
      </c>
      <c r="L63" s="54">
        <v>24</v>
      </c>
      <c r="M63" s="716" t="str">
        <f>HYPERLINK("https://www.petanque.ee/index.php?id=103589&amp;cid=825","1. Eesti MV 55+")</f>
        <v>1. Eesti MV 55+</v>
      </c>
      <c r="N63" s="55">
        <v>25</v>
      </c>
      <c r="O63" s="42"/>
      <c r="P63" s="777"/>
      <c r="Q63" s="778" t="s">
        <v>430</v>
      </c>
    </row>
    <row r="64" spans="1:20" x14ac:dyDescent="0.2">
      <c r="A64" s="71"/>
      <c r="B64" s="84"/>
      <c r="C64" s="57"/>
      <c r="D64" s="118"/>
      <c r="E64" s="56"/>
      <c r="F64" s="84"/>
      <c r="G64" s="77" t="s">
        <v>48</v>
      </c>
      <c r="H64" s="721"/>
      <c r="I64" s="71"/>
      <c r="J64" s="66"/>
      <c r="K64" s="53" t="s">
        <v>44</v>
      </c>
      <c r="L64" s="53"/>
      <c r="M64" s="673" t="s">
        <v>48</v>
      </c>
      <c r="N64" s="84"/>
      <c r="O64" s="42"/>
    </row>
    <row r="65" spans="1:17" ht="13.5" thickBot="1" x14ac:dyDescent="0.25">
      <c r="A65" s="73"/>
      <c r="B65" s="109"/>
      <c r="C65" s="78"/>
      <c r="D65" s="119"/>
      <c r="E65" s="120"/>
      <c r="F65" s="109"/>
      <c r="G65" s="687" t="str">
        <f>HYPERLINK("https://kaart.delfi.ee/?bookmark=521b80d6ceeefbe3e5d227267242b576","K-Järve")</f>
        <v>K-Järve</v>
      </c>
      <c r="H65" s="722"/>
      <c r="I65" s="73"/>
      <c r="J65" s="121"/>
      <c r="K65" s="719" t="str">
        <f>HYPERLINK("https://kaart.delfi.ee/?bookmark=037591353bf9698628b723dab6c5e799","Valga")</f>
        <v>Valga</v>
      </c>
      <c r="L65" s="78"/>
      <c r="M65" s="675" t="str">
        <f>HYPERLINK("https://kaart.delfi.ee/?bookmark=037591353bf9698628b723dab6c5e799","Valga")</f>
        <v>Valga</v>
      </c>
      <c r="N65" s="121"/>
      <c r="O65" s="110"/>
    </row>
    <row r="66" spans="1:17" ht="13.5" thickBot="1" x14ac:dyDescent="0.25">
      <c r="A66" s="79"/>
      <c r="B66" s="90">
        <v>26</v>
      </c>
      <c r="C66" s="57"/>
      <c r="D66" s="54">
        <v>27</v>
      </c>
      <c r="E66" s="666" t="str">
        <f>HYPERLINK("#V8!A5","Voka VIII KV")</f>
        <v>Voka VIII KV</v>
      </c>
      <c r="F66" s="55">
        <v>28</v>
      </c>
      <c r="G66" s="116"/>
      <c r="H66" s="54">
        <v>29</v>
      </c>
      <c r="I66" s="79"/>
      <c r="J66" s="90">
        <v>30</v>
      </c>
      <c r="K66" s="723" t="s">
        <v>345</v>
      </c>
      <c r="L66" s="61">
        <v>31</v>
      </c>
      <c r="M66" s="793"/>
      <c r="N66" s="713"/>
      <c r="O66" s="42"/>
      <c r="P66" s="777"/>
      <c r="Q66" s="778" t="s">
        <v>426</v>
      </c>
    </row>
    <row r="67" spans="1:17" x14ac:dyDescent="0.2">
      <c r="A67" s="71"/>
      <c r="B67" s="66"/>
      <c r="C67" s="57"/>
      <c r="D67" s="53"/>
      <c r="E67" s="667" t="s">
        <v>60</v>
      </c>
      <c r="F67" s="72"/>
      <c r="G67" s="57"/>
      <c r="H67" s="53"/>
      <c r="I67" s="71"/>
      <c r="J67" s="66"/>
      <c r="K67" s="57" t="s">
        <v>58</v>
      </c>
      <c r="L67" s="57"/>
      <c r="M67" s="936" t="str">
        <f>HYPERLINK("https://www.petanque.ee/index.php?id=103809&amp;cid=827","17. Klubide karikas")</f>
        <v>17. Klubide karikas</v>
      </c>
      <c r="N67" s="93">
        <v>1</v>
      </c>
      <c r="O67" s="42"/>
      <c r="Q67" s="778" t="s">
        <v>448</v>
      </c>
    </row>
    <row r="68" spans="1:17" ht="13.5" thickBot="1" x14ac:dyDescent="0.25">
      <c r="A68" s="73"/>
      <c r="B68" s="97"/>
      <c r="C68" s="78"/>
      <c r="D68" s="74"/>
      <c r="E68" s="85" t="str">
        <f>HYPERLINK("https://kaart.delfi.ee//?bookmark=ebd616e171f4882941c876d5ba118858","Voka")</f>
        <v>Voka</v>
      </c>
      <c r="F68" s="75"/>
      <c r="G68" s="892"/>
      <c r="H68" s="74"/>
      <c r="I68" s="73"/>
      <c r="J68" s="97"/>
      <c r="K68" s="893" t="s">
        <v>393</v>
      </c>
      <c r="L68" s="89"/>
      <c r="M68" s="934" t="s">
        <v>447</v>
      </c>
      <c r="N68" s="866"/>
      <c r="O68" s="42"/>
      <c r="Q68" s="747"/>
    </row>
    <row r="69" spans="1:17" ht="13.5" thickBot="1" x14ac:dyDescent="0.25">
      <c r="A69" s="710" t="s">
        <v>353</v>
      </c>
      <c r="B69" s="711"/>
      <c r="C69" s="712"/>
      <c r="D69" s="78"/>
      <c r="E69" s="78"/>
      <c r="F69" s="148"/>
      <c r="G69" s="141"/>
      <c r="H69" s="148"/>
      <c r="I69" s="141"/>
      <c r="J69" s="148"/>
      <c r="K69" s="141"/>
      <c r="L69" s="74"/>
      <c r="M69" s="935" t="str">
        <f>HYPERLINK("https://kaart.delfi.ee/?bookmark=1779b9f3de5825fbacb56aa45d999aab","Tõrva, Puiestee 1")</f>
        <v>Tõrva, Puiestee 1</v>
      </c>
      <c r="N69" s="109"/>
      <c r="O69" s="42"/>
    </row>
    <row r="70" spans="1:17" x14ac:dyDescent="0.2">
      <c r="A70" s="79"/>
      <c r="B70" s="61">
        <v>2</v>
      </c>
      <c r="C70" s="79"/>
      <c r="D70" s="61">
        <v>3</v>
      </c>
      <c r="E70" s="79"/>
      <c r="F70" s="90">
        <v>4</v>
      </c>
      <c r="G70" s="79"/>
      <c r="H70" s="90">
        <v>5</v>
      </c>
      <c r="I70" s="79"/>
      <c r="J70" s="61">
        <v>6</v>
      </c>
      <c r="K70" s="704" t="str">
        <f>HYPERLINK("https://www.petanque.ee/index.php?id=103589&amp;cid=828","30. Eesti MV")</f>
        <v>30. Eesti MV</v>
      </c>
      <c r="L70" s="55">
        <v>7</v>
      </c>
      <c r="M70" s="937" t="str">
        <f>HYPERLINK("https://www.petanque.ee/index.php?id=103589&amp;cid=829","16. Eesti MV")</f>
        <v>16. Eesti MV</v>
      </c>
      <c r="N70" s="55">
        <v>8</v>
      </c>
      <c r="O70" s="42"/>
      <c r="Q70" s="778"/>
    </row>
    <row r="71" spans="1:17" x14ac:dyDescent="0.2">
      <c r="A71" s="71"/>
      <c r="B71" s="57"/>
      <c r="C71" s="122"/>
      <c r="D71" s="57"/>
      <c r="E71" s="71"/>
      <c r="F71" s="84"/>
      <c r="G71" s="71"/>
      <c r="H71" s="66"/>
      <c r="I71" s="71"/>
      <c r="J71" s="57"/>
      <c r="K71" s="673" t="s">
        <v>44</v>
      </c>
      <c r="M71" s="674" t="s">
        <v>56</v>
      </c>
      <c r="N71" s="84"/>
      <c r="O71" s="42"/>
    </row>
    <row r="72" spans="1:17" ht="13.5" thickBot="1" x14ac:dyDescent="0.25">
      <c r="A72" s="71"/>
      <c r="B72" s="57"/>
      <c r="C72" s="71"/>
      <c r="D72" s="57"/>
      <c r="E72" s="71"/>
      <c r="F72" s="84"/>
      <c r="G72" s="71"/>
      <c r="H72" s="66"/>
      <c r="I72" s="71"/>
      <c r="J72" s="57"/>
      <c r="K72" s="785" t="str">
        <f>HYPERLINK("https://kaart.delfi.ee/?bookmark=78de0fb2613cdaa764ec35efb54e0b69","Saku, Teaduse 2")</f>
        <v>Saku, Teaduse 2</v>
      </c>
      <c r="M72" s="785" t="str">
        <f>HYPERLINK("https://kaart.delfi.ee/?bookmark=78de0fb2613cdaa764ec35efb54e0b69","Saku, Teaduse 2")</f>
        <v>Saku, Teaduse 2</v>
      </c>
      <c r="N72" s="146"/>
      <c r="O72" s="42"/>
    </row>
    <row r="73" spans="1:17" x14ac:dyDescent="0.2">
      <c r="A73" s="79"/>
      <c r="B73" s="61">
        <v>9</v>
      </c>
      <c r="C73" s="79"/>
      <c r="D73" s="61">
        <v>10</v>
      </c>
      <c r="E73" s="666" t="str">
        <f>HYPERLINK("#V9!A5","Voka VIII KV")</f>
        <v>Voka VIII KV</v>
      </c>
      <c r="F73" s="61">
        <v>11</v>
      </c>
      <c r="G73" s="80"/>
      <c r="H73" s="90">
        <v>12</v>
      </c>
      <c r="I73" s="79"/>
      <c r="J73" s="61">
        <v>13</v>
      </c>
      <c r="K73" s="779" t="str">
        <f>HYPERLINK("https://www.petanque.ee/index.php?id=103809&amp;cid=830","12. Katariina karikas")</f>
        <v>12. Katariina karikas</v>
      </c>
      <c r="L73" s="61">
        <v>14</v>
      </c>
      <c r="M73" s="79"/>
      <c r="N73" s="105">
        <v>15</v>
      </c>
      <c r="O73" s="42"/>
      <c r="P73" s="777"/>
      <c r="Q73" s="778"/>
    </row>
    <row r="74" spans="1:17" x14ac:dyDescent="0.2">
      <c r="A74" s="71"/>
      <c r="B74" s="53"/>
      <c r="C74" s="71"/>
      <c r="D74" s="53"/>
      <c r="E74" s="667" t="s">
        <v>61</v>
      </c>
      <c r="F74" s="83"/>
      <c r="G74" s="56"/>
      <c r="H74" s="129"/>
      <c r="I74" s="71"/>
      <c r="J74" s="53"/>
      <c r="K74" s="740" t="s">
        <v>346</v>
      </c>
      <c r="L74" s="53"/>
      <c r="M74" s="71"/>
      <c r="N74" s="130"/>
      <c r="O74" s="42"/>
    </row>
    <row r="75" spans="1:17" ht="13.5" thickBot="1" x14ac:dyDescent="0.25">
      <c r="A75" s="73"/>
      <c r="B75" s="78"/>
      <c r="C75" s="73"/>
      <c r="D75" s="78"/>
      <c r="E75" s="85" t="str">
        <f>HYPERLINK("https://kaart.delfi.ee//?bookmark=ebd616e171f4882941c876d5ba118858","Voka")</f>
        <v>Voka</v>
      </c>
      <c r="F75" s="142"/>
      <c r="G75" s="128"/>
      <c r="H75" s="97"/>
      <c r="I75" s="73"/>
      <c r="J75" s="109"/>
      <c r="K75" s="709" t="str">
        <f>HYPERLINK("https://kaart.delfi.ee//?bookmark=2bb384d42ffa0c5e5f7907ddcf503cac","Võru")</f>
        <v>Võru</v>
      </c>
      <c r="L75" s="78"/>
      <c r="M75" s="73"/>
      <c r="N75" s="108"/>
      <c r="O75" s="42"/>
    </row>
    <row r="76" spans="1:17" x14ac:dyDescent="0.2">
      <c r="A76" s="79"/>
      <c r="B76" s="61">
        <v>16</v>
      </c>
      <c r="C76" s="79"/>
      <c r="D76" s="61">
        <v>17</v>
      </c>
      <c r="E76" s="80"/>
      <c r="F76" s="90">
        <v>18</v>
      </c>
      <c r="G76" s="80"/>
      <c r="H76" s="61">
        <v>19</v>
      </c>
      <c r="I76" s="79"/>
      <c r="J76" s="947">
        <v>20</v>
      </c>
      <c r="K76" s="941" t="str">
        <f>HYPERLINK("https://www.petanque.ee/index.php?id=103809&amp;cid=831","8. Warrios Cup")</f>
        <v>8. Warrios Cup</v>
      </c>
      <c r="L76" s="61">
        <v>21</v>
      </c>
      <c r="M76" s="940" t="str">
        <f>HYPERLINK("https://www.petanque.ee/index.php?id=103809&amp;cid=832","8. Warrios Cup")</f>
        <v>8. Warrios Cup</v>
      </c>
      <c r="N76" s="90">
        <v>22</v>
      </c>
      <c r="O76" s="42"/>
      <c r="Q76" s="778" t="s">
        <v>448</v>
      </c>
    </row>
    <row r="77" spans="1:17" x14ac:dyDescent="0.2">
      <c r="A77" s="71"/>
      <c r="B77" s="84"/>
      <c r="C77" s="71"/>
      <c r="D77" s="66"/>
      <c r="E77" s="56"/>
      <c r="F77" s="57"/>
      <c r="G77" s="99"/>
      <c r="H77" s="84"/>
      <c r="I77" s="57"/>
      <c r="J77" s="57"/>
      <c r="K77" s="132" t="s">
        <v>44</v>
      </c>
      <c r="L77" s="958" t="str">
        <f>HYPERLINK("https://upesciems.lv/new/2021_warriors_TRI_final.pdf","tul")</f>
        <v>tul</v>
      </c>
      <c r="M77" s="851" t="s">
        <v>45</v>
      </c>
      <c r="N77" s="81" t="str">
        <f>HYPERLINK("https://upesciems.lv/f-petcup19.html","fot")</f>
        <v>fot</v>
      </c>
      <c r="O77" s="42"/>
    </row>
    <row r="78" spans="1:17" ht="13.5" thickBot="1" x14ac:dyDescent="0.25">
      <c r="A78" s="73"/>
      <c r="B78" s="109"/>
      <c r="C78" s="73"/>
      <c r="D78" s="97"/>
      <c r="E78" s="120"/>
      <c r="F78" s="78"/>
      <c r="G78" s="709"/>
      <c r="H78" s="109"/>
      <c r="I78" s="78"/>
      <c r="J78" s="78"/>
      <c r="K78" s="133" t="s">
        <v>431</v>
      </c>
      <c r="L78" s="139" t="str">
        <f>HYPERLINK("https://www.facebook.com/events/261407644736159/","inf")</f>
        <v>inf</v>
      </c>
      <c r="M78" s="133" t="s">
        <v>431</v>
      </c>
      <c r="N78" s="134" t="str">
        <f>HYPERLINK("https://upesciems.lv/new/2021_warriors_DUO_final.pdf","tul")</f>
        <v>tul</v>
      </c>
      <c r="O78" s="42"/>
    </row>
    <row r="79" spans="1:17" x14ac:dyDescent="0.2">
      <c r="A79" s="71"/>
      <c r="B79" s="54">
        <v>23</v>
      </c>
      <c r="C79" s="71"/>
      <c r="D79" s="54">
        <v>24</v>
      </c>
      <c r="E79" s="691" t="str">
        <f>HYPERLINK("#V10!A5","Voka VIII KV")</f>
        <v>Voka VIII KV</v>
      </c>
      <c r="F79" s="54">
        <v>25</v>
      </c>
      <c r="G79" s="71"/>
      <c r="H79" s="54">
        <v>26</v>
      </c>
      <c r="I79" s="71"/>
      <c r="J79" s="54">
        <v>27</v>
      </c>
      <c r="K79" s="71"/>
      <c r="L79" s="54">
        <v>28</v>
      </c>
      <c r="M79" s="855" t="str">
        <f>HYPERLINK("#12!A5","Ida-Virumaa. MV")</f>
        <v>Ida-Virumaa. MV</v>
      </c>
      <c r="N79" s="63">
        <v>29</v>
      </c>
      <c r="O79" s="42"/>
      <c r="P79" s="777"/>
    </row>
    <row r="80" spans="1:17" x14ac:dyDescent="0.2">
      <c r="A80" s="71"/>
      <c r="B80" s="57"/>
      <c r="C80" s="71"/>
      <c r="D80" s="57"/>
      <c r="E80" s="667" t="s">
        <v>62</v>
      </c>
      <c r="F80" s="83"/>
      <c r="G80" s="71"/>
      <c r="H80" s="57"/>
      <c r="I80" s="71"/>
      <c r="J80" s="57"/>
      <c r="K80" s="71"/>
      <c r="L80" s="57"/>
      <c r="M80" s="852" t="s">
        <v>44</v>
      </c>
      <c r="N80" s="101"/>
      <c r="O80" s="42"/>
      <c r="P80" s="777"/>
    </row>
    <row r="81" spans="1:17" ht="13.5" thickBot="1" x14ac:dyDescent="0.25">
      <c r="A81" s="73"/>
      <c r="B81" s="78"/>
      <c r="C81" s="73"/>
      <c r="D81" s="78"/>
      <c r="E81" s="856" t="str">
        <f>HYPERLINK("https://kaart.delfi.ee/?bookmark=236e0f8de3f3d8e7138807663f9b5d14","Voka")</f>
        <v>Voka</v>
      </c>
      <c r="F81" s="86"/>
      <c r="G81" s="73"/>
      <c r="H81" s="78"/>
      <c r="I81" s="73"/>
      <c r="J81" s="78"/>
      <c r="K81" s="73"/>
      <c r="L81" s="78"/>
      <c r="M81" s="853" t="str">
        <f>HYPERLINK("https://kaart.delfi.ee/?bookmark=521b80d6ceeefbe3e5d227267242b576","K-Järve")</f>
        <v>K-Järve</v>
      </c>
      <c r="N81" s="854"/>
      <c r="O81" s="42"/>
    </row>
    <row r="82" spans="1:17" ht="13.5" thickBot="1" x14ac:dyDescent="0.25">
      <c r="A82" s="135" t="s">
        <v>354</v>
      </c>
      <c r="B82" s="136"/>
      <c r="C82" s="137"/>
      <c r="D82" s="52"/>
      <c r="E82" s="138"/>
      <c r="F82" s="57"/>
      <c r="G82" s="57"/>
      <c r="H82" s="57"/>
      <c r="I82" s="57"/>
      <c r="J82" s="57"/>
      <c r="K82" s="57"/>
      <c r="L82" s="78"/>
      <c r="M82" s="715"/>
      <c r="O82" s="42"/>
    </row>
    <row r="83" spans="1:17" x14ac:dyDescent="0.2">
      <c r="A83" s="79"/>
      <c r="B83" s="61">
        <v>30</v>
      </c>
      <c r="C83" s="79"/>
      <c r="D83" s="87">
        <v>31</v>
      </c>
      <c r="E83" s="726"/>
      <c r="F83" s="61">
        <v>1</v>
      </c>
      <c r="G83" s="79"/>
      <c r="H83" s="61">
        <v>2</v>
      </c>
      <c r="I83" s="79"/>
      <c r="J83" s="61">
        <v>3</v>
      </c>
      <c r="K83" s="79"/>
      <c r="L83" s="61">
        <v>4</v>
      </c>
      <c r="M83" s="671" t="str">
        <f>HYPERLINK("#13!A5","Ida-Virumaa MV")</f>
        <v>Ida-Virumaa MV</v>
      </c>
      <c r="N83" s="114">
        <v>5</v>
      </c>
      <c r="O83" s="42"/>
      <c r="P83" s="777"/>
      <c r="Q83" s="783"/>
    </row>
    <row r="84" spans="1:17" x14ac:dyDescent="0.2">
      <c r="A84" s="71"/>
      <c r="B84" s="53"/>
      <c r="C84" s="71"/>
      <c r="D84" s="88"/>
      <c r="E84" s="857"/>
      <c r="F84" s="57"/>
      <c r="G84" s="71"/>
      <c r="H84" s="53"/>
      <c r="I84" s="71"/>
      <c r="J84" s="53"/>
      <c r="K84" s="71"/>
      <c r="L84" s="53"/>
      <c r="M84" s="131" t="s">
        <v>48</v>
      </c>
      <c r="N84" s="112"/>
      <c r="O84" s="42"/>
    </row>
    <row r="85" spans="1:17" ht="13.5" thickBot="1" x14ac:dyDescent="0.25">
      <c r="A85" s="124"/>
      <c r="B85" s="807"/>
      <c r="C85" s="124"/>
      <c r="D85" s="808"/>
      <c r="E85" s="780"/>
      <c r="F85" s="78"/>
      <c r="G85" s="68"/>
      <c r="H85" s="74"/>
      <c r="I85" s="73"/>
      <c r="J85" s="74"/>
      <c r="K85" s="73"/>
      <c r="L85" s="57"/>
      <c r="M85" s="672" t="str">
        <f>HYPERLINK("https://kaart.delfi.ee/?bookmark=521b80d6ceeefbe3e5d227267242b576","K-Järve")</f>
        <v>K-Järve</v>
      </c>
      <c r="N85" s="115"/>
      <c r="O85" s="42"/>
    </row>
    <row r="86" spans="1:17" ht="13.5" thickTop="1" x14ac:dyDescent="0.2">
      <c r="A86" s="71"/>
      <c r="B86" s="54">
        <v>6</v>
      </c>
      <c r="C86" s="71"/>
      <c r="D86" s="54">
        <v>7</v>
      </c>
      <c r="E86" s="71"/>
      <c r="F86" s="54">
        <v>8</v>
      </c>
      <c r="G86" s="71"/>
      <c r="H86" s="54">
        <v>9</v>
      </c>
      <c r="I86" s="71"/>
      <c r="J86" s="54">
        <v>10</v>
      </c>
      <c r="K86" s="103" t="str">
        <f>HYPERLINK("https://www.petanque.ee/index.php?id=103809&amp;cid=833","A.Sirkeli 5.mälestusvõistlus")</f>
        <v>A.Sirkeli 5.mälestusvõistlus</v>
      </c>
      <c r="L86" s="90">
        <v>11</v>
      </c>
      <c r="M86" s="869" t="str">
        <f>HYPERLINK("#Vi-d!A5","Viru SK liikmete MV")</f>
        <v>Viru SK liikmete MV</v>
      </c>
      <c r="N86" s="55">
        <v>12</v>
      </c>
      <c r="O86" s="42"/>
      <c r="P86" s="777"/>
      <c r="Q86" s="778"/>
    </row>
    <row r="87" spans="1:17" x14ac:dyDescent="0.2">
      <c r="A87" s="71"/>
      <c r="B87" s="53"/>
      <c r="C87" s="71"/>
      <c r="D87" s="53"/>
      <c r="E87" s="71"/>
      <c r="F87" s="53"/>
      <c r="G87" s="71"/>
      <c r="H87" s="57"/>
      <c r="I87" s="71"/>
      <c r="J87" s="57"/>
      <c r="K87" s="71" t="s">
        <v>45</v>
      </c>
      <c r="L87" s="81" t="str">
        <f>HYPERLINK("https://www.facebook.com/events/833240154226475","fb")</f>
        <v>fb</v>
      </c>
      <c r="M87" s="870" t="s">
        <v>45</v>
      </c>
      <c r="N87" s="832"/>
      <c r="O87" s="42"/>
    </row>
    <row r="88" spans="1:17" ht="13.5" thickBot="1" x14ac:dyDescent="0.25">
      <c r="A88" s="73"/>
      <c r="B88" s="78"/>
      <c r="C88" s="73"/>
      <c r="D88" s="78"/>
      <c r="E88" s="73"/>
      <c r="F88" s="78"/>
      <c r="G88" s="73"/>
      <c r="H88" s="78"/>
      <c r="I88" s="73"/>
      <c r="J88" s="78"/>
      <c r="K88" s="106" t="str">
        <f>HYPERLINK("https://kaart.delfi.ee/?bookmark=53aec558b690b02b27df1711c64cd764","Tartu, ERMi viinaköök")</f>
        <v>Tartu, ERMi viinaköök</v>
      </c>
      <c r="L88" s="139" t="str">
        <f>HYPERLINK("http://turna.ee/swiss.php?tid=248","tul")</f>
        <v>tul</v>
      </c>
      <c r="M88" s="871" t="str">
        <f>HYPERLINK("https://kaart.delfi.ee//?bookmark=ebd616e171f4882941c876d5ba118858","Voka")</f>
        <v>Voka</v>
      </c>
      <c r="N88" s="833"/>
      <c r="O88" s="42"/>
    </row>
    <row r="89" spans="1:17" x14ac:dyDescent="0.2">
      <c r="A89" s="71"/>
      <c r="B89" s="54">
        <v>13</v>
      </c>
      <c r="C89" s="71"/>
      <c r="D89" s="54">
        <v>14</v>
      </c>
      <c r="E89" s="80"/>
      <c r="F89" s="54">
        <v>15</v>
      </c>
      <c r="G89" s="71"/>
      <c r="H89" s="54">
        <v>16</v>
      </c>
      <c r="I89" s="71"/>
      <c r="J89" s="54">
        <v>17</v>
      </c>
      <c r="K89" s="71"/>
      <c r="L89" s="54">
        <v>18</v>
      </c>
      <c r="M89" s="869" t="str">
        <f>HYPERLINK("#Vi-t!A5","Viru SK liikmete MV")</f>
        <v>Viru SK liikmete MV</v>
      </c>
      <c r="N89" s="55">
        <v>19</v>
      </c>
      <c r="O89" s="42"/>
      <c r="P89" s="777"/>
    </row>
    <row r="90" spans="1:17" x14ac:dyDescent="0.2">
      <c r="A90" s="102"/>
      <c r="B90" s="100"/>
      <c r="C90" s="57"/>
      <c r="D90" s="57"/>
      <c r="E90" s="56"/>
      <c r="F90" s="100"/>
      <c r="G90" s="57"/>
      <c r="H90" s="57"/>
      <c r="I90" s="102"/>
      <c r="J90" s="100"/>
      <c r="K90" s="57"/>
      <c r="L90" s="57"/>
      <c r="M90" s="870" t="s">
        <v>44</v>
      </c>
      <c r="N90" s="872"/>
      <c r="O90" s="42"/>
    </row>
    <row r="91" spans="1:17" ht="13.5" thickBot="1" x14ac:dyDescent="0.25">
      <c r="A91" s="102"/>
      <c r="B91" s="100"/>
      <c r="C91" s="102"/>
      <c r="D91" s="57"/>
      <c r="E91" s="889"/>
      <c r="F91" s="100"/>
      <c r="G91" s="57"/>
      <c r="H91" s="57"/>
      <c r="I91" s="102"/>
      <c r="J91" s="100"/>
      <c r="K91" s="57"/>
      <c r="L91" s="57"/>
      <c r="M91" s="890" t="str">
        <f>HYPERLINK("https://kaart.delfi.ee//?bookmark=ebd616e171f4882941c876d5ba118858","Voka")</f>
        <v>Voka</v>
      </c>
      <c r="N91" s="872"/>
      <c r="O91" s="42"/>
    </row>
    <row r="92" spans="1:17" x14ac:dyDescent="0.2">
      <c r="A92" s="79"/>
      <c r="B92" s="61">
        <v>20</v>
      </c>
      <c r="C92" s="79"/>
      <c r="D92" s="61">
        <v>21</v>
      </c>
      <c r="E92" s="79"/>
      <c r="F92" s="61">
        <v>22</v>
      </c>
      <c r="G92" s="79"/>
      <c r="H92" s="61">
        <v>23</v>
      </c>
      <c r="I92" s="79"/>
      <c r="J92" s="90">
        <v>24</v>
      </c>
      <c r="K92" s="713"/>
      <c r="L92" s="61">
        <v>25</v>
      </c>
      <c r="M92" s="891" t="str">
        <f>HYPERLINK("#Vi-ü!A5","Viru SK liikmete MV")</f>
        <v>Viru SK liikmete MV</v>
      </c>
      <c r="N92" s="90">
        <v>26</v>
      </c>
      <c r="O92" s="42"/>
      <c r="P92" s="777"/>
      <c r="Q92" s="747"/>
    </row>
    <row r="93" spans="1:17" x14ac:dyDescent="0.2">
      <c r="A93" s="71"/>
      <c r="B93" s="53"/>
      <c r="C93" s="71"/>
      <c r="D93" s="53"/>
      <c r="E93" s="71"/>
      <c r="F93" s="53"/>
      <c r="G93" s="71"/>
      <c r="H93" s="53"/>
      <c r="I93" s="71"/>
      <c r="J93" s="66"/>
      <c r="K93" s="603"/>
      <c r="L93" s="53"/>
      <c r="M93" s="870" t="s">
        <v>48</v>
      </c>
      <c r="N93" s="832"/>
    </row>
    <row r="94" spans="1:17" x14ac:dyDescent="0.2">
      <c r="A94" s="71"/>
      <c r="B94" s="57"/>
      <c r="C94" s="71"/>
      <c r="D94" s="57"/>
      <c r="E94" s="71"/>
      <c r="F94" s="57"/>
      <c r="G94" s="71"/>
      <c r="H94" s="57"/>
      <c r="I94" s="71"/>
      <c r="J94" s="84"/>
      <c r="K94" s="603"/>
      <c r="L94" s="57"/>
      <c r="M94" s="871" t="str">
        <f>HYPERLINK("https://kaart.delfi.ee//?bookmark=ebd616e171f4882941c876d5ba118858","Voka")</f>
        <v>Voka</v>
      </c>
      <c r="N94" s="873"/>
    </row>
    <row r="95" spans="1:17" x14ac:dyDescent="0.2">
      <c r="A95" s="71"/>
      <c r="B95" s="57"/>
      <c r="C95" s="71"/>
      <c r="D95" s="57"/>
      <c r="E95" s="71"/>
      <c r="F95" s="57"/>
      <c r="G95" s="71"/>
      <c r="H95" s="57"/>
      <c r="I95" s="71"/>
      <c r="J95" s="84"/>
      <c r="K95" s="728" t="str">
        <f>HYPERLINK("https://www.petanque.ee/index.php?id=103809&amp;cid=778","2. Baltic Sea Cup for Clubs")</f>
        <v>2. Baltic Sea Cup for Clubs</v>
      </c>
      <c r="L95" s="57"/>
      <c r="M95" s="784" t="str">
        <f>HYPERLINK("https://www.petanque.ee/index.php?id=103809&amp;cid=779","Baltic Sea Cup for Clubs")</f>
        <v>Baltic Sea Cup for Clubs</v>
      </c>
      <c r="N95" s="782"/>
      <c r="O95" s="42"/>
      <c r="Q95" s="778"/>
    </row>
    <row r="96" spans="1:17" x14ac:dyDescent="0.2">
      <c r="A96" s="71"/>
      <c r="B96" s="57"/>
      <c r="C96" s="71"/>
      <c r="D96" s="57"/>
      <c r="E96" s="71"/>
      <c r="F96" s="57"/>
      <c r="G96" s="71"/>
      <c r="H96" s="57"/>
      <c r="I96" s="71"/>
      <c r="J96" s="84"/>
      <c r="K96" s="758" t="s">
        <v>420</v>
      </c>
      <c r="L96" s="57"/>
      <c r="M96" s="132" t="s">
        <v>420</v>
      </c>
      <c r="N96" s="84"/>
      <c r="O96" s="42"/>
    </row>
    <row r="97" spans="1:17" ht="13.5" thickBot="1" x14ac:dyDescent="0.25">
      <c r="A97" s="71"/>
      <c r="B97" s="57"/>
      <c r="C97" s="71"/>
      <c r="D97" s="57"/>
      <c r="E97" s="71"/>
      <c r="F97" s="57"/>
      <c r="G97" s="71"/>
      <c r="H97" s="57"/>
      <c r="I97" s="73"/>
      <c r="J97" s="109"/>
      <c r="K97" s="799" t="str">
        <f>HYPERLINK("https://kaart.delfi.ee/?bookmark=73a75c2d8ed4a34c764e205c87288d20","Harku, Pikk 19")</f>
        <v>Harku, Pikk 19</v>
      </c>
      <c r="L97" s="109"/>
      <c r="M97" s="786" t="str">
        <f>HYPERLINK("https://kaart.delfi.ee/?bookmark=73a75c2d8ed4a34c764e205c87288d20","Harku, Pikk 19")</f>
        <v>Harku, Pikk 19</v>
      </c>
      <c r="N97" s="109"/>
      <c r="O97" s="42"/>
    </row>
    <row r="98" spans="1:17" ht="13.5" thickBot="1" x14ac:dyDescent="0.25">
      <c r="A98" s="79"/>
      <c r="B98" s="61">
        <v>27</v>
      </c>
      <c r="C98" s="79"/>
      <c r="D98" s="61">
        <v>28</v>
      </c>
      <c r="E98" s="79"/>
      <c r="F98" s="61">
        <v>29</v>
      </c>
      <c r="G98" s="79"/>
      <c r="H98" s="61">
        <v>30</v>
      </c>
      <c r="I98" s="793"/>
      <c r="O98" s="42"/>
    </row>
    <row r="99" spans="1:17" x14ac:dyDescent="0.2">
      <c r="A99" s="71"/>
      <c r="B99" s="53"/>
      <c r="C99" s="71"/>
      <c r="D99" s="53"/>
      <c r="E99" s="71"/>
      <c r="F99" s="53"/>
      <c r="G99" s="71"/>
      <c r="H99" s="53"/>
      <c r="I99" s="795"/>
      <c r="J99" s="61">
        <v>1</v>
      </c>
      <c r="K99" s="79"/>
      <c r="L99" s="90">
        <v>2</v>
      </c>
      <c r="M99" s="103" t="str">
        <f>HYPERLINK("https://www.petanque.ee/index.php?id=103809&amp;cid=865","Kohtunike koolitus")</f>
        <v>Kohtunike koolitus</v>
      </c>
      <c r="N99" s="90">
        <v>3</v>
      </c>
      <c r="O99" s="42"/>
    </row>
    <row r="100" spans="1:17" ht="13.5" thickBot="1" x14ac:dyDescent="0.25">
      <c r="A100" s="73"/>
      <c r="B100" s="78"/>
      <c r="C100" s="73"/>
      <c r="D100" s="78"/>
      <c r="E100" s="73"/>
      <c r="F100" s="78"/>
      <c r="G100" s="73"/>
      <c r="H100" s="78"/>
      <c r="I100" s="794"/>
      <c r="K100" s="859"/>
      <c r="L100" s="866"/>
      <c r="M100" s="859"/>
      <c r="N100" s="866"/>
      <c r="O100" s="42"/>
      <c r="Q100" s="778"/>
    </row>
    <row r="101" spans="1:17" ht="13.5" thickBot="1" x14ac:dyDescent="0.25">
      <c r="A101" s="135" t="s">
        <v>355</v>
      </c>
      <c r="B101" s="136"/>
      <c r="C101" s="137"/>
      <c r="D101" s="51"/>
      <c r="E101" s="57"/>
      <c r="F101" s="53"/>
      <c r="G101" s="57"/>
      <c r="H101" s="53"/>
      <c r="I101" s="796"/>
      <c r="J101" s="78"/>
      <c r="K101" s="73"/>
      <c r="L101" s="109"/>
      <c r="M101" s="781" t="s">
        <v>421</v>
      </c>
      <c r="N101" s="109"/>
      <c r="O101" s="143"/>
    </row>
    <row r="102" spans="1:17" x14ac:dyDescent="0.2">
      <c r="A102" s="79"/>
      <c r="B102" s="61">
        <v>4</v>
      </c>
      <c r="C102" s="79"/>
      <c r="D102" s="90">
        <v>5</v>
      </c>
      <c r="E102" s="116"/>
      <c r="F102" s="61">
        <v>6</v>
      </c>
      <c r="G102" s="144"/>
      <c r="H102" s="90">
        <v>7</v>
      </c>
      <c r="I102" s="116"/>
      <c r="J102" s="61">
        <v>8</v>
      </c>
      <c r="K102" s="858" t="str">
        <f>HYPERLINK("https://www.petanque.ee/index.php?id=103809&amp;cid=862","MM katsevõistlus")</f>
        <v>MM katsevõistlus</v>
      </c>
      <c r="L102" s="90">
        <v>9</v>
      </c>
      <c r="M102" s="728" t="str">
        <f>HYPERLINK("https://www.petanque.ee/index.php?id=103809&amp;cid=863","MM katsevõistlus")</f>
        <v>MM katsevõistlus</v>
      </c>
      <c r="N102" s="55">
        <v>10</v>
      </c>
      <c r="O102" s="42"/>
      <c r="Q102" s="778"/>
    </row>
    <row r="103" spans="1:17" x14ac:dyDescent="0.2">
      <c r="A103" s="71"/>
      <c r="B103" s="53"/>
      <c r="C103" s="71"/>
      <c r="D103" s="66"/>
      <c r="E103" s="57"/>
      <c r="F103" s="53"/>
      <c r="G103" s="790"/>
      <c r="H103" s="66"/>
      <c r="I103" s="57"/>
      <c r="J103" s="53"/>
      <c r="K103" s="789" t="s">
        <v>422</v>
      </c>
      <c r="L103" s="66"/>
      <c r="M103" s="788" t="s">
        <v>422</v>
      </c>
      <c r="N103" s="866"/>
      <c r="O103" s="42"/>
      <c r="Q103" s="747"/>
    </row>
    <row r="104" spans="1:17" x14ac:dyDescent="0.2">
      <c r="A104" s="71"/>
      <c r="B104" s="53"/>
      <c r="C104" s="71"/>
      <c r="D104" s="66"/>
      <c r="E104" s="57"/>
      <c r="F104" s="53"/>
      <c r="G104" s="790"/>
      <c r="H104" s="66"/>
      <c r="I104" s="57"/>
      <c r="J104" s="53"/>
      <c r="K104" s="791" t="str">
        <f>HYPERLINK("https://kaart.delfi.ee/?bookmark=73a75c2d8ed4a34c764e205c87288d20","Harku, Pikk 19")</f>
        <v>Harku, Pikk 19</v>
      </c>
      <c r="L104" s="66"/>
      <c r="M104" s="864" t="str">
        <f>HYPERLINK("https://kaart.delfi.ee/?bookmark=73a75c2d8ed4a34c764e205c87288d20","Harku, Pikk 19")</f>
        <v>Harku, Pikk 19</v>
      </c>
      <c r="N104" s="123"/>
      <c r="O104" s="42"/>
      <c r="Q104" s="747"/>
    </row>
    <row r="105" spans="1:17" x14ac:dyDescent="0.2">
      <c r="A105" s="71"/>
      <c r="B105" s="53"/>
      <c r="C105" s="71"/>
      <c r="D105" s="66"/>
      <c r="E105" s="57"/>
      <c r="F105" s="53"/>
      <c r="G105" s="790"/>
      <c r="H105" s="66"/>
      <c r="I105" s="57"/>
      <c r="J105" s="53"/>
      <c r="K105" s="859"/>
      <c r="L105" s="66"/>
      <c r="M105" s="865" t="str">
        <f>HYPERLINK("#L!W1","Hooaja lõpetamine")</f>
        <v>Hooaja lõpetamine</v>
      </c>
      <c r="N105" s="867"/>
      <c r="O105" s="42"/>
      <c r="P105" s="777"/>
    </row>
    <row r="106" spans="1:17" x14ac:dyDescent="0.2">
      <c r="A106" s="71"/>
      <c r="B106" s="53"/>
      <c r="C106" s="71"/>
      <c r="D106" s="66"/>
      <c r="E106" s="57"/>
      <c r="F106" s="53"/>
      <c r="G106" s="145"/>
      <c r="H106" s="146"/>
      <c r="I106" s="140"/>
      <c r="J106" s="140"/>
      <c r="K106" s="859"/>
      <c r="L106" s="146"/>
      <c r="M106" s="860" t="s">
        <v>63</v>
      </c>
      <c r="N106" s="792"/>
      <c r="O106" s="42"/>
    </row>
    <row r="107" spans="1:17" ht="13.5" thickBot="1" x14ac:dyDescent="0.25">
      <c r="A107" s="71"/>
      <c r="B107" s="53"/>
      <c r="C107" s="73"/>
      <c r="D107" s="97"/>
      <c r="E107" s="57"/>
      <c r="F107" s="53"/>
      <c r="G107" s="862"/>
      <c r="H107" s="863"/>
      <c r="I107" s="57"/>
      <c r="J107" s="53"/>
      <c r="K107" s="714"/>
      <c r="L107" s="97"/>
      <c r="M107" s="861" t="str">
        <f>HYPERLINK("https://kaart.delfi.ee/?bookmark=521b80d6ceeefbe3e5d227267242b576","K-Järve")</f>
        <v>K-Järve</v>
      </c>
      <c r="N107" s="868"/>
      <c r="O107" s="42"/>
      <c r="Q107" s="603"/>
    </row>
    <row r="108" spans="1:17" x14ac:dyDescent="0.2">
      <c r="A108" s="79"/>
      <c r="B108" s="61">
        <v>11</v>
      </c>
      <c r="C108" s="79"/>
      <c r="D108" s="61">
        <v>12</v>
      </c>
      <c r="E108" s="79"/>
      <c r="F108" s="61">
        <v>13</v>
      </c>
      <c r="G108" s="79"/>
      <c r="H108" s="61">
        <v>14</v>
      </c>
      <c r="I108" s="79"/>
      <c r="J108" s="61">
        <v>15</v>
      </c>
      <c r="K108" s="779" t="str">
        <f>HYPERLINK("https://www.petanque.ee/index.php?id=103809&amp;cid=864","Petangiturniir")</f>
        <v>Petangiturniir</v>
      </c>
      <c r="L108" s="90">
        <v>16</v>
      </c>
      <c r="M108" s="787" t="str">
        <f>HYPERLINK("https://www.petanque.ee/index.php?id=103809&amp;cid=860","Eesti-Läti maavõistlus")</f>
        <v>Eesti-Läti maavõistlus</v>
      </c>
      <c r="N108" s="90">
        <v>17</v>
      </c>
      <c r="O108" s="42"/>
      <c r="Q108" s="797"/>
    </row>
    <row r="109" spans="1:17" x14ac:dyDescent="0.2">
      <c r="A109" s="71"/>
      <c r="B109" s="53"/>
      <c r="C109" s="71"/>
      <c r="D109" s="53"/>
      <c r="E109" s="71"/>
      <c r="F109" s="147"/>
      <c r="G109" s="57"/>
      <c r="H109" s="53"/>
      <c r="I109" s="71"/>
      <c r="J109" s="53"/>
      <c r="K109" s="768" t="s">
        <v>45</v>
      </c>
      <c r="L109" s="66"/>
      <c r="M109" s="758" t="s">
        <v>423</v>
      </c>
      <c r="N109" s="66"/>
      <c r="O109" s="42"/>
      <c r="Q109" s="603"/>
    </row>
    <row r="110" spans="1:17" ht="13.5" thickBot="1" x14ac:dyDescent="0.25">
      <c r="A110" s="73"/>
      <c r="B110" s="78"/>
      <c r="C110" s="73"/>
      <c r="D110" s="109"/>
      <c r="E110" s="73"/>
      <c r="F110" s="76"/>
      <c r="G110" s="148"/>
      <c r="H110" s="78"/>
      <c r="I110" s="73"/>
      <c r="J110" s="78"/>
      <c r="K110" s="798" t="str">
        <f>HYPERLINK("https://kaart.delfi.ee/?bookmark=73a75c2d8ed4a34c764e205c87288d20","Harku, Pikk 19")</f>
        <v>Harku, Pikk 19</v>
      </c>
      <c r="L110" s="109"/>
      <c r="M110" s="799" t="str">
        <f>HYPERLINK("https://kaart.delfi.ee/?bookmark=73a75c2d8ed4a34c764e205c87288d20","Harku, Pikk 19")</f>
        <v>Harku, Pikk 19</v>
      </c>
      <c r="N110" s="139" t="str">
        <f>HYPERLINK("https://docs.google.com/spreadsheets/d/19_vcuTtqcjZOX2_MItqsfDrYaEC7VWK_RdWuRzhx9Hk/edit?usp=sharing","tul")</f>
        <v>tul</v>
      </c>
      <c r="O110" s="42"/>
    </row>
    <row r="111" spans="1:17" x14ac:dyDescent="0.2">
      <c r="A111" s="79"/>
      <c r="B111" s="61">
        <v>18</v>
      </c>
      <c r="C111" s="79"/>
      <c r="D111" s="61">
        <v>19</v>
      </c>
      <c r="E111" s="79"/>
      <c r="F111" s="61">
        <v>20</v>
      </c>
      <c r="G111" s="79"/>
      <c r="H111" s="61">
        <v>21</v>
      </c>
      <c r="I111" s="79"/>
      <c r="J111" s="61">
        <v>22</v>
      </c>
      <c r="K111" s="800" t="str">
        <f>HYPERLINK("https://www.petanque.ee/index.php?id=103809&amp;cid=843","Eesti sise-MV")</f>
        <v>Eesti sise-MV</v>
      </c>
      <c r="L111" s="61">
        <v>23</v>
      </c>
      <c r="M111" s="800" t="str">
        <f>HYPERLINK("https://www.petanque.ee/index.php?id=103809&amp;cid=844","Eesti sise-MV")</f>
        <v>Eesti sise-MV</v>
      </c>
      <c r="N111" s="90">
        <v>24</v>
      </c>
      <c r="O111" s="42"/>
    </row>
    <row r="112" spans="1:17" x14ac:dyDescent="0.2">
      <c r="A112" s="71"/>
      <c r="B112" s="53"/>
      <c r="C112" s="71"/>
      <c r="D112" s="53"/>
      <c r="E112" s="71"/>
      <c r="F112" s="147"/>
      <c r="G112" s="57"/>
      <c r="H112" s="53"/>
      <c r="I112" s="71"/>
      <c r="J112" s="53"/>
      <c r="K112" s="738" t="s">
        <v>55</v>
      </c>
      <c r="L112" s="53"/>
      <c r="M112" s="738" t="s">
        <v>56</v>
      </c>
      <c r="N112" s="66"/>
      <c r="O112" s="42"/>
    </row>
    <row r="113" spans="1:17" ht="13.5" thickBot="1" x14ac:dyDescent="0.25">
      <c r="A113" s="73"/>
      <c r="B113" s="78"/>
      <c r="C113" s="73"/>
      <c r="D113" s="109"/>
      <c r="E113" s="73"/>
      <c r="F113" s="76"/>
      <c r="G113" s="148"/>
      <c r="H113" s="78"/>
      <c r="I113" s="73"/>
      <c r="J113" s="78"/>
      <c r="K113" s="801" t="str">
        <f>HYPERLINK("https://kaart.delfi.ee/?bookmark=73a75c2d8ed4a34c764e205c87288d20","Harku, Pikk 19")</f>
        <v>Harku, Pikk 19</v>
      </c>
      <c r="L113" s="78"/>
      <c r="M113" s="801" t="str">
        <f>HYPERLINK("https://kaart.delfi.ee/?bookmark=73a75c2d8ed4a34c764e205c87288d20","Harku, Pikk 19")</f>
        <v>Harku, Pikk 19</v>
      </c>
      <c r="N113" s="109"/>
      <c r="O113" s="42"/>
    </row>
    <row r="114" spans="1:17" ht="13.5" thickBot="1" x14ac:dyDescent="0.25">
      <c r="A114" s="135" t="s">
        <v>399</v>
      </c>
      <c r="B114" s="136"/>
      <c r="C114" s="137"/>
      <c r="D114" s="52"/>
      <c r="E114" s="57"/>
      <c r="F114" s="57"/>
      <c r="G114" s="140"/>
      <c r="H114" s="57"/>
      <c r="I114" s="57"/>
      <c r="J114" s="57"/>
      <c r="K114" s="57"/>
      <c r="L114" s="57"/>
      <c r="M114" s="57"/>
      <c r="N114" s="57"/>
      <c r="O114" s="42"/>
    </row>
    <row r="115" spans="1:17" x14ac:dyDescent="0.2">
      <c r="A115" s="79"/>
      <c r="B115" s="61">
        <v>8</v>
      </c>
      <c r="C115" s="79"/>
      <c r="D115" s="61">
        <v>9</v>
      </c>
      <c r="E115" s="79"/>
      <c r="F115" s="61">
        <v>10</v>
      </c>
      <c r="G115" s="79"/>
      <c r="H115" s="90">
        <v>11</v>
      </c>
      <c r="I115" s="116"/>
      <c r="J115" s="61">
        <v>12</v>
      </c>
      <c r="K115" s="79"/>
      <c r="L115" s="61">
        <v>13</v>
      </c>
      <c r="M115" s="79"/>
      <c r="N115" s="90">
        <v>14</v>
      </c>
      <c r="O115" s="42"/>
    </row>
    <row r="116" spans="1:17" x14ac:dyDescent="0.2">
      <c r="A116" s="71"/>
      <c r="B116" s="53"/>
      <c r="C116" s="71"/>
      <c r="D116" s="53"/>
      <c r="E116" s="71"/>
      <c r="F116" s="147"/>
      <c r="G116" s="57"/>
      <c r="H116" s="66"/>
      <c r="I116" s="805"/>
      <c r="J116" s="150"/>
      <c r="K116" s="151"/>
      <c r="L116" s="944" t="str">
        <f>HYPERLINK("","18. Juunioride ja naiste MM, TRIO, TUL")</f>
        <v>18. Juunioride ja naiste MM, TRIO, TUL</v>
      </c>
      <c r="M116" s="149"/>
      <c r="N116" s="942"/>
      <c r="O116" s="42"/>
      <c r="Q116" s="778" t="s">
        <v>449</v>
      </c>
    </row>
    <row r="117" spans="1:17" ht="13.5" thickBot="1" x14ac:dyDescent="0.25">
      <c r="A117" s="73"/>
      <c r="B117" s="78"/>
      <c r="C117" s="73"/>
      <c r="D117" s="109"/>
      <c r="E117" s="73"/>
      <c r="F117" s="76"/>
      <c r="G117" s="148"/>
      <c r="H117" s="809"/>
      <c r="I117" s="803"/>
      <c r="J117" s="803"/>
      <c r="K117" s="806" t="s">
        <v>424</v>
      </c>
      <c r="L117" s="803"/>
      <c r="M117" s="803"/>
      <c r="N117" s="804"/>
      <c r="O117" s="42"/>
    </row>
    <row r="118" spans="1:17" x14ac:dyDescent="0.2">
      <c r="A118" s="79"/>
      <c r="B118" s="90">
        <v>15</v>
      </c>
      <c r="C118" s="79"/>
      <c r="D118" s="90">
        <v>16</v>
      </c>
      <c r="E118" s="79"/>
      <c r="F118" s="90">
        <v>17</v>
      </c>
      <c r="G118" s="79"/>
      <c r="H118" s="92">
        <v>18</v>
      </c>
      <c r="I118" s="79"/>
      <c r="J118" s="93">
        <v>19</v>
      </c>
      <c r="K118" s="79"/>
      <c r="L118" s="61">
        <v>20</v>
      </c>
      <c r="M118" s="79"/>
      <c r="N118" s="90">
        <v>21</v>
      </c>
      <c r="O118" s="42"/>
    </row>
    <row r="119" spans="1:17" x14ac:dyDescent="0.2">
      <c r="A119" s="145"/>
      <c r="B119" s="127"/>
      <c r="C119" s="102"/>
      <c r="D119" s="127"/>
      <c r="E119" s="57"/>
      <c r="F119" s="127"/>
      <c r="G119" s="57"/>
      <c r="H119" s="127"/>
      <c r="I119" s="805"/>
      <c r="J119" s="150"/>
      <c r="K119" s="151"/>
      <c r="L119" s="945" t="str">
        <f>HYPERLINK("","49. Meeste MM, TRIO, TUL")</f>
        <v>49. Meeste MM, TRIO, TUL</v>
      </c>
      <c r="M119" s="149"/>
      <c r="N119" s="943"/>
      <c r="O119" s="42"/>
      <c r="Q119" s="778" t="s">
        <v>449</v>
      </c>
    </row>
    <row r="120" spans="1:17" ht="13.5" thickBot="1" x14ac:dyDescent="0.25">
      <c r="A120" s="154"/>
      <c r="B120" s="69"/>
      <c r="C120" s="107"/>
      <c r="D120" s="69"/>
      <c r="E120" s="78"/>
      <c r="F120" s="69"/>
      <c r="G120" s="78"/>
      <c r="H120" s="69"/>
      <c r="I120" s="802"/>
      <c r="J120" s="803"/>
      <c r="K120" s="806" t="s">
        <v>424</v>
      </c>
      <c r="L120" s="803"/>
      <c r="M120" s="803"/>
      <c r="N120" s="804"/>
      <c r="O120" s="42"/>
    </row>
    <row r="121" spans="1:17" x14ac:dyDescent="0.2">
      <c r="A121" s="79"/>
      <c r="B121" s="90">
        <v>22</v>
      </c>
      <c r="C121" s="116"/>
      <c r="D121" s="61">
        <v>23</v>
      </c>
      <c r="E121" s="79"/>
      <c r="F121" s="90">
        <v>24</v>
      </c>
      <c r="G121" s="116"/>
      <c r="H121" s="61">
        <v>25</v>
      </c>
      <c r="I121" s="79"/>
      <c r="J121" s="105">
        <v>26</v>
      </c>
      <c r="K121" s="800" t="str">
        <f>HYPERLINK("https://www.petanque.ee/index.php?id=103809&amp;cid=803","Eesti sise-MV")</f>
        <v>Eesti sise-MV</v>
      </c>
      <c r="L121" s="90">
        <v>27</v>
      </c>
      <c r="M121" s="800" t="str">
        <f>HYPERLINK("https://www.petanque.ee/index.php?id=103809&amp;cid=806","Eesti sise-MV")</f>
        <v>Eesti sise-MV</v>
      </c>
      <c r="N121" s="90">
        <v>28</v>
      </c>
      <c r="O121" s="42"/>
      <c r="Q121" s="778"/>
    </row>
    <row r="122" spans="1:17" x14ac:dyDescent="0.2">
      <c r="A122" s="71"/>
      <c r="B122" s="66"/>
      <c r="C122" s="57"/>
      <c r="D122" s="53"/>
      <c r="E122" s="71"/>
      <c r="F122" s="66"/>
      <c r="G122" s="57"/>
      <c r="H122" s="66"/>
      <c r="I122" s="57"/>
      <c r="J122" s="66"/>
      <c r="K122" s="738" t="s">
        <v>45</v>
      </c>
      <c r="L122" s="66"/>
      <c r="M122" s="738" t="s">
        <v>44</v>
      </c>
      <c r="N122" s="66"/>
      <c r="O122" s="42"/>
    </row>
    <row r="123" spans="1:17" ht="13.5" thickBot="1" x14ac:dyDescent="0.25">
      <c r="A123" s="73"/>
      <c r="B123" s="109"/>
      <c r="C123" s="78"/>
      <c r="D123" s="78"/>
      <c r="E123" s="73"/>
      <c r="F123" s="109"/>
      <c r="G123" s="148"/>
      <c r="H123" s="109"/>
      <c r="I123" s="148"/>
      <c r="J123" s="109"/>
      <c r="K123" s="801" t="str">
        <f>HYPERLINK("https://kaart.delfi.ee/?bookmark=73a75c2d8ed4a34c764e205c87288d20","Harku, Pikk 19")</f>
        <v>Harku, Pikk 19</v>
      </c>
      <c r="L123" s="109"/>
      <c r="M123" s="801" t="str">
        <f>HYPERLINK("https://kaart.delfi.ee/?bookmark=73a75c2d8ed4a34c764e205c87288d20","Harku, Pikk 19")</f>
        <v>Harku, Pikk 19</v>
      </c>
      <c r="N123" s="109"/>
      <c r="O123" s="42"/>
    </row>
    <row r="124" spans="1:17" ht="13.5" thickBot="1" x14ac:dyDescent="0.25">
      <c r="A124" s="135" t="s">
        <v>416</v>
      </c>
      <c r="B124" s="136"/>
      <c r="C124" s="137"/>
      <c r="D124" s="52"/>
      <c r="E124" s="57"/>
      <c r="F124" s="57"/>
      <c r="G124" s="140"/>
      <c r="H124" s="57"/>
      <c r="I124" s="57"/>
      <c r="J124" s="166"/>
      <c r="K124" s="57"/>
      <c r="L124" s="167"/>
      <c r="M124" s="168"/>
      <c r="N124" s="57"/>
      <c r="O124" s="42"/>
    </row>
    <row r="125" spans="1:17" x14ac:dyDescent="0.2">
      <c r="A125" s="79"/>
      <c r="B125" s="61">
        <v>29</v>
      </c>
      <c r="C125" s="79"/>
      <c r="D125" s="87">
        <v>30</v>
      </c>
      <c r="E125" s="726"/>
      <c r="F125" s="90">
        <v>1</v>
      </c>
      <c r="G125" s="726"/>
      <c r="H125" s="61">
        <v>2</v>
      </c>
      <c r="I125" s="79"/>
      <c r="J125" s="90">
        <v>3</v>
      </c>
      <c r="K125" s="776"/>
      <c r="L125" s="61">
        <v>4</v>
      </c>
      <c r="M125" s="776"/>
      <c r="N125" s="90">
        <v>5</v>
      </c>
      <c r="O125" s="42"/>
    </row>
    <row r="126" spans="1:17" x14ac:dyDescent="0.2">
      <c r="A126" s="71"/>
      <c r="B126" s="53"/>
      <c r="C126" s="71"/>
      <c r="D126" s="88"/>
      <c r="E126" s="138"/>
      <c r="F126" s="66"/>
      <c r="G126" s="149"/>
      <c r="H126" s="153"/>
      <c r="I126" s="805"/>
      <c r="J126" s="946" t="str">
        <f>HYPERLINK("https://www.petanque.ee/index.php?id=103809&amp;cid=848","23. EuroCup finaal")</f>
        <v>23. EuroCup finaal</v>
      </c>
      <c r="K126" s="151"/>
      <c r="L126" s="152"/>
      <c r="M126" s="149"/>
      <c r="N126" s="153"/>
      <c r="O126" s="42"/>
      <c r="Q126" s="778" t="s">
        <v>449</v>
      </c>
    </row>
    <row r="127" spans="1:17" ht="13.5" thickBot="1" x14ac:dyDescent="0.25">
      <c r="A127" s="124"/>
      <c r="B127" s="807"/>
      <c r="C127" s="124"/>
      <c r="D127" s="808"/>
      <c r="E127" s="141"/>
      <c r="F127" s="97"/>
      <c r="G127" s="141"/>
      <c r="H127" s="96"/>
      <c r="I127" s="73"/>
      <c r="J127" s="109"/>
      <c r="K127" s="810" t="s">
        <v>425</v>
      </c>
      <c r="L127" s="74"/>
      <c r="M127" s="775"/>
      <c r="N127" s="97"/>
      <c r="O127" s="42"/>
    </row>
    <row r="128" spans="1:17" ht="13.5" thickTop="1" x14ac:dyDescent="0.2">
      <c r="A128" s="71"/>
      <c r="B128" s="54">
        <v>6</v>
      </c>
      <c r="C128" s="71"/>
      <c r="D128" s="54">
        <v>7</v>
      </c>
      <c r="E128" s="80"/>
      <c r="F128" s="90">
        <v>8</v>
      </c>
      <c r="G128" s="726"/>
      <c r="H128" s="61">
        <v>9</v>
      </c>
      <c r="I128" s="79"/>
      <c r="J128" s="90">
        <v>10</v>
      </c>
      <c r="K128" s="776" t="str">
        <f>HYPERLINK("https://www.petanque.ee/index.php?id=103809&amp;cid=866","Open Tournament")</f>
        <v>Open Tournament</v>
      </c>
      <c r="L128" s="61">
        <v>11</v>
      </c>
      <c r="M128" s="776" t="str">
        <f>HYPERLINK("https://www.petanque.ee/index.php?id=103809&amp;cid=861","Baltic Singles Masters")</f>
        <v>Baltic Singles Masters</v>
      </c>
      <c r="N128" s="90">
        <v>12</v>
      </c>
      <c r="O128" s="42"/>
      <c r="Q128" s="778"/>
    </row>
    <row r="129" spans="1:19" x14ac:dyDescent="0.2">
      <c r="A129" s="71"/>
      <c r="B129" s="53"/>
      <c r="C129" s="71"/>
      <c r="D129" s="53"/>
      <c r="E129" s="94"/>
      <c r="F129" s="66"/>
      <c r="G129" s="138"/>
      <c r="H129" s="53"/>
      <c r="I129" s="71"/>
      <c r="J129" s="66"/>
      <c r="K129" s="774" t="s">
        <v>56</v>
      </c>
      <c r="L129" s="53"/>
      <c r="M129" s="774" t="s">
        <v>51</v>
      </c>
      <c r="N129" s="84"/>
      <c r="O129" s="42"/>
    </row>
    <row r="130" spans="1:19" ht="13.5" thickBot="1" x14ac:dyDescent="0.25">
      <c r="A130" s="73"/>
      <c r="B130" s="74"/>
      <c r="C130" s="73"/>
      <c r="D130" s="74"/>
      <c r="E130" s="95"/>
      <c r="F130" s="97"/>
      <c r="G130" s="141"/>
      <c r="H130" s="96"/>
      <c r="I130" s="73"/>
      <c r="J130" s="109"/>
      <c r="K130" s="1004" t="str">
        <f>HYPERLINK("https://kaart.delfi.ee/?bookmark=73a75c2d8ed4a34c764e205c87288d20","Harku, Pikk 19")</f>
        <v>Harku, Pikk 19</v>
      </c>
      <c r="L130" s="74"/>
      <c r="M130" s="1004" t="str">
        <f>HYPERLINK("https://kaart.delfi.ee/?bookmark=73a75c2d8ed4a34c764e205c87288d20","Harku, Pikk 19")</f>
        <v>Harku, Pikk 19</v>
      </c>
      <c r="N130" s="97"/>
      <c r="O130" s="42"/>
    </row>
    <row r="131" spans="1:19" x14ac:dyDescent="0.2">
      <c r="A131" s="157" t="s">
        <v>64</v>
      </c>
      <c r="B131" s="158"/>
      <c r="C131" s="159"/>
      <c r="D131" s="159"/>
      <c r="E131" s="158"/>
      <c r="F131" s="158"/>
      <c r="G131" s="159"/>
      <c r="H131" s="159"/>
      <c r="I131" s="159"/>
      <c r="J131" s="159"/>
      <c r="K131" s="159"/>
      <c r="L131" s="8"/>
      <c r="M131" s="8"/>
      <c r="N131" s="160"/>
      <c r="O131" s="42"/>
    </row>
    <row r="132" spans="1:19" x14ac:dyDescent="0.2">
      <c r="A132" s="161" t="s">
        <v>543</v>
      </c>
      <c r="B132" s="158"/>
      <c r="C132" s="159"/>
      <c r="D132" s="159"/>
      <c r="E132" s="158"/>
      <c r="F132" s="158"/>
      <c r="G132" s="159"/>
      <c r="H132" s="159"/>
      <c r="I132" s="159"/>
      <c r="J132" s="159"/>
      <c r="K132" s="159"/>
      <c r="L132" s="159"/>
      <c r="M132" s="159"/>
      <c r="N132" s="160"/>
      <c r="O132" s="42"/>
    </row>
    <row r="133" spans="1:19" x14ac:dyDescent="0.2">
      <c r="A133" s="35" t="s">
        <v>65</v>
      </c>
      <c r="B133" s="36"/>
      <c r="C133" s="36"/>
      <c r="D133" s="36"/>
      <c r="E133" s="36"/>
      <c r="F133" s="36"/>
      <c r="G133" s="36"/>
      <c r="H133" s="169" t="str">
        <f>HYPERLINK("https://webzone.ee/petank/juhendid/voka-kv-2021-juhend.pdf","juhend")</f>
        <v>juhend</v>
      </c>
      <c r="I133" s="8"/>
      <c r="J133" s="8"/>
      <c r="L133" s="8"/>
      <c r="M133" s="8"/>
      <c r="N133" s="160"/>
      <c r="O133" s="42"/>
    </row>
    <row r="134" spans="1:19" x14ac:dyDescent="0.2">
      <c r="A134" s="35" t="s">
        <v>29</v>
      </c>
      <c r="B134" s="36"/>
      <c r="C134" s="36"/>
      <c r="D134" s="36"/>
      <c r="E134" s="36"/>
      <c r="F134" s="36"/>
      <c r="G134" s="36"/>
      <c r="H134" s="36"/>
      <c r="I134" s="36"/>
      <c r="J134" s="162"/>
      <c r="K134" s="162"/>
      <c r="L134" s="162"/>
      <c r="M134" s="162"/>
      <c r="N134" s="163"/>
      <c r="O134" s="42"/>
    </row>
    <row r="135" spans="1:19" x14ac:dyDescent="0.2">
      <c r="A135" s="160" t="s">
        <v>67</v>
      </c>
      <c r="B135" s="8"/>
      <c r="C135" s="8"/>
      <c r="D135" s="8"/>
      <c r="E135" s="160"/>
      <c r="F135" s="160"/>
      <c r="G135" s="8"/>
      <c r="H135" s="8"/>
      <c r="I135" s="8"/>
      <c r="J135" s="8"/>
      <c r="K135" s="8"/>
      <c r="L135" s="8"/>
      <c r="M135" s="8"/>
      <c r="N135" s="170" t="str">
        <f>HYPERLINK("https://www.petanque.ee/juhendid/reitinguarvestuse-juhend/","juhend")</f>
        <v>juhend</v>
      </c>
      <c r="O135" s="7"/>
    </row>
    <row r="136" spans="1:19" x14ac:dyDescent="0.2">
      <c r="A136" s="164" t="s">
        <v>31</v>
      </c>
      <c r="B136" s="8"/>
      <c r="C136" s="8"/>
      <c r="D136" s="8"/>
      <c r="E136" s="160"/>
      <c r="F136" s="160"/>
      <c r="G136" s="8"/>
      <c r="H136" s="8"/>
      <c r="I136" s="7"/>
      <c r="J136" s="7"/>
      <c r="K136" s="7"/>
      <c r="L136" s="8"/>
      <c r="M136" s="8"/>
      <c r="N136" s="165" t="s">
        <v>66</v>
      </c>
      <c r="O136" s="7"/>
      <c r="P136" s="7"/>
      <c r="Q136" s="7"/>
      <c r="R136" s="7"/>
      <c r="S136" s="7"/>
    </row>
    <row r="137" spans="1:19" x14ac:dyDescent="0.2">
      <c r="A137" s="57"/>
      <c r="B137" s="57"/>
      <c r="C137" s="57"/>
      <c r="D137" s="57"/>
      <c r="E137" s="57"/>
      <c r="F137" s="57"/>
      <c r="G137" s="140"/>
      <c r="H137" s="57"/>
      <c r="I137" s="57"/>
      <c r="J137" s="166"/>
      <c r="K137" s="57"/>
      <c r="L137" s="167"/>
      <c r="M137" s="168"/>
      <c r="N137" s="57"/>
      <c r="O137" s="42"/>
      <c r="P137" s="42"/>
      <c r="Q137" s="42"/>
      <c r="R137" s="42"/>
      <c r="S137" s="42"/>
    </row>
  </sheetData>
  <pageMargins left="0.35433070866141736" right="0.19685039370078741" top="0.27559055118110237" bottom="0.19685039370078741" header="0.27559055118110237" footer="0"/>
  <pageSetup paperSize="9" fitToHeight="0" orientation="portrait" r:id="rId1"/>
  <headerFooter>
    <oddHeader>&amp;R&amp;9Page &amp;P of &amp;N</oddHeader>
  </headerFooter>
  <rowBreaks count="1" manualBreakCount="1">
    <brk id="68"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09"/>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1.140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4.8554687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UPPER((Kalend!E8)&amp;" - "&amp;(Kalend!C8)&amp;" - "&amp;(Kalend!D8))</f>
        <v>V2 - VOKA VIII KV 2. ETAPP - DUO</v>
      </c>
      <c r="B1" s="403"/>
      <c r="C1" s="404"/>
      <c r="D1" s="403"/>
      <c r="E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"&amp;(Kalend!A8)&amp;" kell "&amp;(Kalend!B8)</f>
        <v>Toimumisaeg: K, 19.05.2021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"&amp;(Kalend!F8)</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"&amp;(Kalend!G8)</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SUM(AE7:AP7)</f>
        <v>0</v>
      </c>
      <c r="AE7" s="459" t="str">
        <f>IFERROR(INDEX(V!$R:$R,MATCH(AF7,V!$L:$L,0)),"")</f>
        <v/>
      </c>
      <c r="AF7" s="460" t="str">
        <f t="shared" ref="AF7:AF17" si="1">IFERROR(LEFT($B7,(FIND(",",$B7,1)-1)),"")</f>
        <v/>
      </c>
      <c r="AG7" s="459" t="str">
        <f>IFERROR(INDEX(V!$R:$R,MATCH(AH7,V!$L:$L,0)),"")</f>
        <v/>
      </c>
      <c r="AH7" s="460" t="str">
        <f t="shared" ref="AH7:AH17" si="2">IFERROR(MID($B7,FIND(", ",$B7)+2,256),"")</f>
        <v/>
      </c>
      <c r="AI7" s="459" t="str">
        <f>IFERROR(INDEX(V!$R:$R,MATCH(AJ7,V!$L:$L,0)),"")</f>
        <v/>
      </c>
      <c r="AJ7" s="460" t="str">
        <f t="shared" ref="AJ7:AJ17" si="3">IFERROR(MID($B7,FIND("^",SUBSTITUTE($B7,", ","^",1))+2,FIND("^",SUBSTITUTE($B7,", ","^",2))-FIND("^",SUBSTITUTE($B7,", ","^",1))-2),"")</f>
        <v/>
      </c>
      <c r="AK7" s="459" t="str">
        <f>IFERROR(INDEX(V!$R:$R,MATCH(AL7,V!$L:$L,0)),"")</f>
        <v/>
      </c>
      <c r="AL7" s="460" t="str">
        <f t="shared" ref="AL7:AL17" si="4">IFERROR(MID($B7,FIND(", ",$B7,FIND(", ",$B7,FIND(", ",$B7))+1)+2,30000),"")</f>
        <v/>
      </c>
      <c r="AM7" s="459" t="str">
        <f>IFERROR(INDEX(V!$R:$R,MATCH(AN7,V!$L:$L,0)),"")</f>
        <v/>
      </c>
      <c r="AN7" s="460" t="str">
        <f t="shared" ref="AN7:AN17" si="5">IFERROR(MID($B7,FIND(", ",$B7,FIND(", ",$B7)+1)+2,FIND(", ",$B7,FIND(", ",$B7,FIND(", ",$B7)+1)+1)-FIND(", ",$B7,FIND(", ",$B7)+1)-2),"")</f>
        <v/>
      </c>
      <c r="AO7" s="459" t="str">
        <f>IFERROR(INDEX(V!$R:$R,MATCH(AP7,V!$L:$L,0)),"")</f>
        <v/>
      </c>
      <c r="AP7" s="460" t="str">
        <f t="shared" ref="AP7:AP17" si="6">IFERROR(MID($B7,FIND(", ",$B7,FIND(", ",$B7,FIND(", ",$B7)+1)+1)+2,30000),"")</f>
        <v/>
      </c>
    </row>
    <row r="8" spans="1:42" x14ac:dyDescent="0.2">
      <c r="A8" s="435">
        <v>1</v>
      </c>
      <c r="B8" s="436" t="s">
        <v>255</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259</v>
      </c>
      <c r="AE8" s="459">
        <f>IFERROR(INDEX(V!$R:$R,MATCH(AF8,V!$L:$L,0)),"")</f>
        <v>139</v>
      </c>
      <c r="AF8" s="460" t="str">
        <f t="shared" si="1"/>
        <v>Andres Veski</v>
      </c>
      <c r="AG8" s="459">
        <f>IFERROR(INDEX(V!$R:$R,MATCH(AH8,V!$L:$L,0)),"")</f>
        <v>120</v>
      </c>
      <c r="AH8" s="460" t="str">
        <f t="shared" si="2"/>
        <v>Svetlana Veski</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494</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7" si="7">IF(C9&gt;E9,J$3,IF(C9&lt;E9,J$5,IF(ISNUMBER(C9),J$4,0)))+IF(G9&gt;I9,J$3,IF(G9&lt;I9,J$5,IF(ISNUMBER(G9),J$4,0)))+IF(K9&gt;M9,J$3,IF(K9&lt;M9,J$5,IF(ISNUMBER(K9),J$4,0)))+IF(O9&gt;Q9,J$3,IF(O9&lt;Q9,J$5,IF(ISNUMBER(O9),J$4,0)))+IF(S9&gt;U9,J$3,IF(S9&lt;U9,J$5,IF(ISNUMBER(S9),J$4,0)))</f>
        <v>0</v>
      </c>
      <c r="X9" s="442"/>
      <c r="Y9" s="437">
        <f t="shared" ref="Y9:Y17" si="8">C9+G9+K9+O9+S9</f>
        <v>0</v>
      </c>
      <c r="Z9" s="438" t="s">
        <v>246</v>
      </c>
      <c r="AA9" s="443">
        <f t="shared" ref="AA9:AA17" si="9">E9+I9+M9+Q9+U9</f>
        <v>0</v>
      </c>
      <c r="AB9" s="444">
        <f t="shared" ref="AB9:AB17" si="10">Y9-AA9</f>
        <v>0</v>
      </c>
      <c r="AC9" s="445"/>
      <c r="AD9" s="458">
        <f t="shared" si="0"/>
        <v>299</v>
      </c>
      <c r="AE9" s="459">
        <f>IFERROR(INDEX(V!$R:$R,MATCH(AF9,V!$L:$L,0)),"")</f>
        <v>139</v>
      </c>
      <c r="AF9" s="460" t="str">
        <f t="shared" si="1"/>
        <v>Kaspar Mänd</v>
      </c>
      <c r="AG9" s="459">
        <f>IFERROR(INDEX(V!$R:$R,MATCH(AH9,V!$L:$L,0)),"")</f>
        <v>160</v>
      </c>
      <c r="AH9" s="460" t="str">
        <f t="shared" si="2"/>
        <v>Kenneth Muusikus</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258</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271</v>
      </c>
      <c r="AE10" s="459">
        <f>IFERROR(INDEX(V!$R:$R,MATCH(AF10,V!$L:$L,0)),"")</f>
        <v>132</v>
      </c>
      <c r="AF10" s="460" t="str">
        <f t="shared" si="1"/>
        <v>Henri Mitt</v>
      </c>
      <c r="AG10" s="459">
        <f>IFERROR(INDEX(V!$R:$R,MATCH(AH10,V!$L:$L,0)),"")</f>
        <v>139</v>
      </c>
      <c r="AH10" s="460" t="str">
        <f t="shared" si="2"/>
        <v>Urmas Randlaine</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495</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209</v>
      </c>
      <c r="AE11" s="459">
        <f>IFERROR(INDEX(V!$R:$R,MATCH(AF11,V!$L:$L,0)),"")</f>
        <v>129</v>
      </c>
      <c r="AF11" s="460" t="str">
        <f t="shared" si="1"/>
        <v>Jaan Saar</v>
      </c>
      <c r="AG11" s="459">
        <f>IFERROR(INDEX(V!$R:$R,MATCH(AH11,V!$L:$L,0)),"")</f>
        <v>80</v>
      </c>
      <c r="AH11" s="460" t="str">
        <f t="shared" si="2"/>
        <v>Johannes Neiland</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338</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146</v>
      </c>
      <c r="AE12" s="459">
        <f>IFERROR(INDEX(V!$R:$R,MATCH(AF12,V!$L:$L,0)),"")</f>
        <v>73</v>
      </c>
      <c r="AF12" s="460" t="str">
        <f t="shared" si="1"/>
        <v>Ljudmila Varendi</v>
      </c>
      <c r="AG12" s="459">
        <f>IFERROR(INDEX(V!$R:$R,MATCH(AH12,V!$L:$L,0)),"")</f>
        <v>73</v>
      </c>
      <c r="AH12" s="460" t="str">
        <f t="shared" si="2"/>
        <v>Viktor Švarõgin</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496</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180</v>
      </c>
      <c r="AE13" s="459">
        <f>IFERROR(INDEX(V!$R:$R,MATCH(AF13,V!$L:$L,0)),"")</f>
        <v>134</v>
      </c>
      <c r="AF13" s="460" t="str">
        <f t="shared" si="1"/>
        <v>Elmo Lageda</v>
      </c>
      <c r="AG13" s="459">
        <f>IFERROR(INDEX(V!$R:$R,MATCH(AH13,V!$L:$L,0)),"")</f>
        <v>46</v>
      </c>
      <c r="AH13" s="460" t="str">
        <f t="shared" si="2"/>
        <v>Vladimir Ogneštšikov</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249</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215</v>
      </c>
      <c r="AE14" s="459">
        <f>IFERROR(INDEX(V!$R:$R,MATCH(AF14,V!$L:$L,0)),"")</f>
        <v>98</v>
      </c>
      <c r="AF14" s="460" t="str">
        <f t="shared" si="1"/>
        <v>Andrei Grintšak</v>
      </c>
      <c r="AG14" s="459">
        <f>IFERROR(INDEX(V!$R:$R,MATCH(AH14,V!$L:$L,0)),"")</f>
        <v>117</v>
      </c>
      <c r="AH14" s="460" t="str">
        <f t="shared" si="2"/>
        <v>Oleg Rõndenkov</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251</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314</v>
      </c>
      <c r="AE15" s="459">
        <f>IFERROR(INDEX(V!$R:$R,MATCH(AF15,V!$L:$L,0)),"")</f>
        <v>159</v>
      </c>
      <c r="AF15" s="460" t="str">
        <f t="shared" si="1"/>
        <v>Meelis Luud</v>
      </c>
      <c r="AG15" s="459">
        <f>IFERROR(INDEX(V!$R:$R,MATCH(AH15,V!$L:$L,0)),"")</f>
        <v>155</v>
      </c>
      <c r="AH15" s="460" t="str">
        <f t="shared" si="2"/>
        <v>Sander Rose</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252</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143</v>
      </c>
      <c r="AE16" s="459">
        <f>IFERROR(INDEX(V!$R:$R,MATCH(AF16,V!$L:$L,0)),"")</f>
        <v>75</v>
      </c>
      <c r="AF16" s="460" t="str">
        <f t="shared" si="1"/>
        <v>Enn Tokman</v>
      </c>
      <c r="AG16" s="459">
        <f>IFERROR(INDEX(V!$R:$R,MATCH(AH16,V!$L:$L,0)),"")</f>
        <v>68</v>
      </c>
      <c r="AH16" s="460" t="str">
        <f t="shared" si="2"/>
        <v>Tarmo Bombe</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497</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22</v>
      </c>
      <c r="AE17" s="459">
        <f>IFERROR(INDEX(V!$R:$R,MATCH(AF17,V!$L:$L,0)),"")</f>
        <v>11</v>
      </c>
      <c r="AF17" s="460" t="str">
        <f t="shared" si="1"/>
        <v>Marko Rooden</v>
      </c>
      <c r="AG17" s="459">
        <f>IFERROR(INDEX(V!$R:$R,MATCH(AH17,V!$L:$L,0)),"")</f>
        <v>11</v>
      </c>
      <c r="AH17" s="460" t="str">
        <f t="shared" si="2"/>
        <v>Mikk Rooden</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20" spans="1:42" hidden="1" x14ac:dyDescent="0.2"/>
    <row r="21" spans="1:42" hidden="1" x14ac:dyDescent="0.2"/>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row>
    <row r="33" spans="1:2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row>
    <row r="34" spans="1:2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row>
    <row r="35" spans="1:2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row>
    <row r="36" spans="1:2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row>
    <row r="37" spans="1:2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row>
    <row r="38" spans="1:2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row>
    <row r="39" spans="1:2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row>
    <row r="40" spans="1:2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row>
    <row r="41" spans="1:2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row>
    <row r="42" spans="1:2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row>
    <row r="43" spans="1:2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row>
    <row r="44" spans="1:2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row>
    <row r="45" spans="1:2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row>
    <row r="46" spans="1:2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row>
    <row r="47" spans="1:2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row>
    <row r="48" spans="1:2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row>
    <row r="49" spans="1:2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row>
    <row r="50" spans="1:2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row>
    <row r="51" spans="1:2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row>
    <row r="52" spans="1:2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1:2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row>
    <row r="54" spans="1:2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row>
    <row r="55" spans="1:2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row>
    <row r="56" spans="1:2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row>
    <row r="57" spans="1:2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row>
    <row r="58" spans="1:2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row>
    <row r="59" spans="1:2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row>
    <row r="60" spans="1:2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row>
    <row r="61" spans="1:2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row>
    <row r="62" spans="1:2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row>
    <row r="63" spans="1:2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row>
    <row r="64" spans="1:2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row>
    <row r="65" spans="1:2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row>
    <row r="66" spans="1:2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row>
    <row r="67" spans="1:2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row>
    <row r="68" spans="1:2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row>
    <row r="69" spans="1:2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row>
    <row r="76" spans="1:2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row>
    <row r="77" spans="1:2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row>
    <row r="78" spans="1:2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row>
    <row r="79" spans="1:2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row>
    <row r="80" spans="1:2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row>
    <row r="81" spans="1:2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row>
    <row r="82" spans="1:2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row>
    <row r="83" spans="1:2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row>
    <row r="84" spans="1:2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row>
    <row r="85" spans="1:2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row>
    <row r="86" spans="1:2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row>
    <row r="88" spans="1:2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row>
    <row r="89" spans="1:2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row>
    <row r="90" spans="1:2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row>
    <row r="91" spans="1:2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row>
    <row r="92" spans="1:2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row>
    <row r="93" spans="1:2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row>
    <row r="94" spans="1:2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row>
    <row r="95" spans="1:2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row>
    <row r="96" spans="1:2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row>
    <row r="97" spans="1:2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row>
    <row r="98" spans="1:2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row>
    <row r="99" spans="1:2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row>
    <row r="100" spans="1:2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row>
    <row r="101" spans="1:2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row>
    <row r="102" spans="1:2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row>
    <row r="103" spans="1:2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row>
    <row r="104" spans="1:2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row>
    <row r="105" spans="1:2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row>
    <row r="106" spans="1:2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row>
    <row r="107" spans="1:2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row>
    <row r="108" spans="1:2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row>
    <row r="109" spans="1:2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row>
    <row r="110" spans="1:2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row>
    <row r="111" spans="1:2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row>
    <row r="112" spans="1:2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row>
    <row r="113" spans="1:2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row>
    <row r="114" spans="1:2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row>
    <row r="115" spans="1:2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row>
    <row r="116" spans="1:2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row>
    <row r="117" spans="1:2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row>
    <row r="118" spans="1:2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row>
    <row r="119" spans="1:2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row>
    <row r="120" spans="1:2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row>
    <row r="122" spans="1:2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row>
    <row r="123" spans="1:2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row>
    <row r="124" spans="1:2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row>
    <row r="125" spans="1:2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row>
    <row r="126" spans="1:2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row>
    <row r="127" spans="1:2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row>
    <row r="128" spans="1:2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row>
    <row r="129" spans="1:2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row>
    <row r="130" spans="1:2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row>
    <row r="131" spans="1:2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row>
    <row r="132" spans="1:2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row>
    <row r="133" spans="1:2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row>
    <row r="134" spans="1:2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row>
    <row r="136" spans="1:29"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row>
    <row r="137" spans="1:2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row>
    <row r="138" spans="1:2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row>
    <row r="139" spans="1:2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row>
    <row r="140" spans="1:2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row>
    <row r="141" spans="1:2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row>
    <row r="142" spans="1:2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row>
    <row r="143" spans="1:2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row>
    <row r="144" spans="1:2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row>
    <row r="145" spans="1:2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row>
    <row r="146" spans="1:2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row>
    <row r="147" spans="1:2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row>
    <row r="148" spans="1:2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row>
    <row r="149" spans="1:2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row>
    <row r="150" spans="1:2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row>
    <row r="151" spans="1:29"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row>
    <row r="152" spans="1:29"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row>
    <row r="153" spans="1:2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row>
    <row r="154" spans="1:2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row>
    <row r="155" spans="1:2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row>
    <row r="156" spans="1:2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row>
    <row r="157" spans="1:2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row>
    <row r="158" spans="1:2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row>
    <row r="165" spans="1:29"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row>
    <row r="166" spans="1:2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row>
    <row r="167" spans="1:2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row>
    <row r="168" spans="1:2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row>
    <row r="169" spans="1:2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row>
    <row r="170" spans="1:2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row>
    <row r="171" spans="1:2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row>
    <row r="172" spans="1:2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row>
    <row r="173" spans="1:2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row>
    <row r="174" spans="1:2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row>
    <row r="175" spans="1:2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row>
    <row r="176" spans="1:2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row>
    <row r="177" spans="1:2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row>
    <row r="178" spans="1:2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row>
    <row r="179" spans="1:2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row>
    <row r="180" spans="1:2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row>
    <row r="181" spans="1:2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row>
    <row r="182" spans="1:2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row>
    <row r="183" spans="1:2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row>
    <row r="184" spans="1:2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row>
    <row r="185" spans="1:2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row>
    <row r="186" spans="1:2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row>
    <row r="187" spans="1:2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row>
    <row r="188" spans="1:2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row>
    <row r="189" spans="1:2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row>
    <row r="190" spans="1:2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row>
    <row r="191" spans="1:2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row>
    <row r="192" spans="1:2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row>
    <row r="193" spans="1:2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row>
    <row r="194" spans="1:2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row>
    <row r="195" spans="1:2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row>
    <row r="196" spans="1:2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row>
    <row r="197" spans="1:2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row>
    <row r="198" spans="1:2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row>
    <row r="199" spans="1:2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row>
    <row r="200" spans="1:2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row>
    <row r="201" spans="1:2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row>
    <row r="202" spans="1:2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row>
    <row r="203" spans="1:2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row>
    <row r="204" spans="1:2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row>
    <row r="205" spans="1:2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row>
    <row r="206" spans="1:2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row>
    <row r="207" spans="1:2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row>
    <row r="208" spans="1:2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row>
    <row r="209" spans="1:2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row>
    <row r="210" spans="1:2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row>
    <row r="211" spans="1:2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row>
    <row r="212" spans="1:2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row>
    <row r="213" spans="1:2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row>
    <row r="214" spans="1:2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row>
    <row r="215" spans="1:2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row>
    <row r="216" spans="1:2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row>
    <row r="217" spans="1:2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row>
    <row r="218" spans="1:2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row>
    <row r="219" spans="1:2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row>
    <row r="220" spans="1:2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row>
    <row r="221" spans="1:2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row>
    <row r="222" spans="1:2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row>
    <row r="223" spans="1:2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row>
    <row r="224" spans="1:2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row>
    <row r="225" spans="1:2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row>
    <row r="226" spans="1:2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row>
    <row r="227" spans="1:2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row>
    <row r="228" spans="1:2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row>
    <row r="229" spans="1:2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row>
    <row r="230" spans="1:2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row>
    <row r="231" spans="1:2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row>
    <row r="232" spans="1:2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row>
    <row r="233" spans="1:2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row>
    <row r="234" spans="1:2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row>
    <row r="235" spans="1:2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row>
    <row r="236" spans="1:2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row>
    <row r="237" spans="1:2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row>
    <row r="238" spans="1:2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row>
    <row r="239" spans="1:2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row>
    <row r="240" spans="1:2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row>
    <row r="241" spans="1:2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row>
    <row r="242" spans="1:2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row>
    <row r="243" spans="1:2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row>
    <row r="244" spans="1:2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row>
    <row r="245" spans="1:2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row>
    <row r="246" spans="1:2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row>
    <row r="247" spans="1:2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row>
    <row r="248" spans="1:2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row>
    <row r="249" spans="1:2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row>
    <row r="250" spans="1:2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row>
    <row r="251" spans="1:2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row>
    <row r="252" spans="1:2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row>
    <row r="253" spans="1:2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row>
    <row r="254" spans="1:2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row>
    <row r="255" spans="1:2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row>
    <row r="256" spans="1:2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row>
    <row r="257" spans="1:2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row>
    <row r="258" spans="1:2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row>
    <row r="259" spans="1:2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row>
    <row r="260" spans="1:2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row>
    <row r="261" spans="1:2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row>
    <row r="262" spans="1:2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row>
    <row r="263" spans="1:2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row>
    <row r="264" spans="1:2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row>
    <row r="265" spans="1:2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row>
    <row r="266" spans="1:2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row>
    <row r="267" spans="1:2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row>
    <row r="268" spans="1:2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row>
    <row r="269" spans="1:2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row>
    <row r="270" spans="1:2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row>
    <row r="271" spans="1:2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row>
    <row r="272" spans="1:2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row>
    <row r="273" spans="1:2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row>
    <row r="274" spans="1:2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row>
    <row r="275" spans="1:2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row>
    <row r="276" spans="1:2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row>
    <row r="277" spans="1:2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row>
    <row r="278" spans="1:2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row>
    <row r="279" spans="1:2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row>
    <row r="280" spans="1:2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row>
    <row r="281" spans="1:2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row>
    <row r="282" spans="1:2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row>
    <row r="283" spans="1:2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row>
    <row r="284" spans="1:2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row>
    <row r="285" spans="1:2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row>
    <row r="286" spans="1:2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row>
    <row r="287" spans="1:29"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row>
    <row r="288" spans="1:29"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row>
    <row r="289" spans="1:39" hidden="1" x14ac:dyDescent="0.2">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row>
    <row r="290" spans="1:39" hidden="1" x14ac:dyDescent="0.2">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row>
    <row r="291" spans="1:39" hidden="1" x14ac:dyDescent="0.2">
      <c r="G291" s="403"/>
      <c r="H291" s="403"/>
      <c r="I291" s="403"/>
      <c r="J291" s="403"/>
      <c r="K291" s="403"/>
      <c r="L291" s="403"/>
      <c r="M291" s="403"/>
      <c r="N291" s="403"/>
      <c r="O291" s="403"/>
      <c r="P291" s="403"/>
      <c r="Q291" s="403"/>
      <c r="R291" s="403"/>
      <c r="S291" s="403"/>
      <c r="T291" s="403"/>
      <c r="U291" s="403"/>
      <c r="V291" s="403"/>
      <c r="W291" s="453"/>
      <c r="X291" s="403"/>
      <c r="Y291" s="403"/>
      <c r="Z291" s="403"/>
      <c r="AA291" s="403"/>
      <c r="AB291" s="403"/>
      <c r="AC291" s="403"/>
    </row>
    <row r="292" spans="1:39" hidden="1" x14ac:dyDescent="0.2">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row>
    <row r="293" spans="1:39" hidden="1" x14ac:dyDescent="0.2">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row>
    <row r="294" spans="1:39" hidden="1" x14ac:dyDescent="0.2">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row>
    <row r="295" spans="1:39" hidden="1" x14ac:dyDescent="0.2">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row>
    <row r="296" spans="1:39" hidden="1" x14ac:dyDescent="0.2">
      <c r="G296" s="403"/>
      <c r="H296" s="403"/>
      <c r="I296" s="403"/>
      <c r="J296" s="403"/>
      <c r="K296" s="403"/>
      <c r="L296" s="403"/>
      <c r="M296" s="403"/>
      <c r="N296" s="403"/>
      <c r="O296" s="403"/>
      <c r="P296" s="403"/>
      <c r="Q296" s="403"/>
      <c r="R296" s="403"/>
      <c r="S296" s="403"/>
      <c r="T296" s="403"/>
      <c r="U296" s="403"/>
      <c r="V296" s="403"/>
      <c r="W296" s="453"/>
      <c r="X296" s="403"/>
      <c r="Y296" s="403"/>
      <c r="Z296" s="403"/>
      <c r="AA296" s="403"/>
      <c r="AB296" s="403"/>
      <c r="AC296" s="403"/>
    </row>
    <row r="297" spans="1:39" hidden="1" x14ac:dyDescent="0.2">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row>
    <row r="298" spans="1:39" hidden="1" x14ac:dyDescent="0.2">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row>
    <row r="299" spans="1:39" x14ac:dyDescent="0.2">
      <c r="A299" s="403"/>
      <c r="B299" s="403"/>
      <c r="C299" s="447" t="s">
        <v>69</v>
      </c>
      <c r="D299" s="448"/>
      <c r="E299" s="448"/>
      <c r="F299" s="448"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row>
    <row r="300" spans="1:39" x14ac:dyDescent="0.2">
      <c r="A300" s="449">
        <v>1</v>
      </c>
      <c r="B300" s="450" t="str">
        <f t="shared" ref="B300:B309" si="11">IFERROR(INDEX(B$1:B$90,MATCH(A300,A$1:A$90,0)),"")</f>
        <v>Andres Veski, Svetlana Veski</v>
      </c>
      <c r="C300" s="451">
        <f t="shared" ref="C300:C309" si="12">IF(21-A300&gt;0,IF(OR(A300=A301,A299=A300),21-A300-0.5,21-A300),1)</f>
        <v>20</v>
      </c>
      <c r="D300" s="452"/>
      <c r="E300" s="452"/>
      <c r="F300" s="461">
        <v>4</v>
      </c>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row>
    <row r="301" spans="1:39" x14ac:dyDescent="0.2">
      <c r="A301" s="449">
        <v>2</v>
      </c>
      <c r="B301" s="450" t="str">
        <f t="shared" si="11"/>
        <v>Kaspar Mänd, Kenneth Muusikus</v>
      </c>
      <c r="C301" s="451">
        <f t="shared" si="12"/>
        <v>19</v>
      </c>
      <c r="D301" s="404"/>
      <c r="E301" s="404"/>
      <c r="F301" s="461">
        <v>3.5</v>
      </c>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row>
    <row r="302" spans="1:39" x14ac:dyDescent="0.2">
      <c r="A302" s="449">
        <v>3</v>
      </c>
      <c r="B302" s="450" t="str">
        <f t="shared" si="11"/>
        <v>Henri Mitt, Urmas Randlaine</v>
      </c>
      <c r="C302" s="451">
        <f t="shared" si="12"/>
        <v>18</v>
      </c>
      <c r="D302" s="404"/>
      <c r="E302" s="404"/>
      <c r="F302" s="461">
        <v>3.5</v>
      </c>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row>
    <row r="303" spans="1:39" x14ac:dyDescent="0.2">
      <c r="A303" s="449">
        <v>4</v>
      </c>
      <c r="B303" s="450" t="str">
        <f t="shared" si="11"/>
        <v>Jaan Saar, Johannes Neiland</v>
      </c>
      <c r="C303" s="451">
        <f t="shared" si="12"/>
        <v>17</v>
      </c>
      <c r="D303" s="404"/>
      <c r="E303" s="404"/>
      <c r="F303" s="461">
        <v>3</v>
      </c>
    </row>
    <row r="304" spans="1:39" x14ac:dyDescent="0.2">
      <c r="A304" s="449">
        <v>5</v>
      </c>
      <c r="B304" s="450" t="str">
        <f t="shared" si="11"/>
        <v>Ljudmila Varendi, Viktor Švarõgin</v>
      </c>
      <c r="C304" s="451">
        <f t="shared" si="12"/>
        <v>16</v>
      </c>
      <c r="D304" s="404"/>
      <c r="E304" s="404"/>
      <c r="F304" s="461">
        <v>3</v>
      </c>
    </row>
    <row r="305" spans="1:6" x14ac:dyDescent="0.2">
      <c r="A305" s="449">
        <v>6</v>
      </c>
      <c r="B305" s="450" t="str">
        <f t="shared" si="11"/>
        <v>Elmo Lageda, Vladimir Ogneštšikov</v>
      </c>
      <c r="C305" s="451">
        <f t="shared" si="12"/>
        <v>15</v>
      </c>
      <c r="D305" s="404"/>
      <c r="E305" s="404"/>
      <c r="F305" s="461">
        <v>3</v>
      </c>
    </row>
    <row r="306" spans="1:6" x14ac:dyDescent="0.2">
      <c r="A306" s="449">
        <v>7</v>
      </c>
      <c r="B306" s="450" t="str">
        <f t="shared" si="11"/>
        <v>Andrei Grintšak, Oleg Rõndenkov</v>
      </c>
      <c r="C306" s="451">
        <f t="shared" si="12"/>
        <v>14</v>
      </c>
      <c r="D306" s="404"/>
      <c r="E306" s="404"/>
      <c r="F306" s="461">
        <v>2</v>
      </c>
    </row>
    <row r="307" spans="1:6" x14ac:dyDescent="0.2">
      <c r="A307" s="449">
        <v>8</v>
      </c>
      <c r="B307" s="450" t="str">
        <f t="shared" si="11"/>
        <v>Meelis Luud, Sander Rose</v>
      </c>
      <c r="C307" s="451">
        <f t="shared" si="12"/>
        <v>13</v>
      </c>
      <c r="D307" s="404"/>
      <c r="E307" s="404"/>
      <c r="F307" s="461">
        <v>2</v>
      </c>
    </row>
    <row r="308" spans="1:6" x14ac:dyDescent="0.2">
      <c r="A308" s="449">
        <v>9</v>
      </c>
      <c r="B308" s="450" t="str">
        <f t="shared" si="11"/>
        <v>Enn Tokman, Tarmo Bombe</v>
      </c>
      <c r="C308" s="451">
        <f t="shared" si="12"/>
        <v>12</v>
      </c>
      <c r="D308" s="404"/>
      <c r="E308" s="404"/>
      <c r="F308" s="461">
        <v>1</v>
      </c>
    </row>
    <row r="309" spans="1:6" x14ac:dyDescent="0.2">
      <c r="A309" s="449">
        <v>10</v>
      </c>
      <c r="B309" s="450" t="str">
        <f t="shared" si="11"/>
        <v>Marko Rooden, Mikk Rooden</v>
      </c>
      <c r="C309" s="451">
        <f t="shared" si="12"/>
        <v>11</v>
      </c>
      <c r="D309" s="404"/>
      <c r="E309" s="404"/>
      <c r="F309" s="403">
        <v>0</v>
      </c>
    </row>
  </sheetData>
  <conditionalFormatting sqref="C8:C17">
    <cfRule type="expression" dxfId="1275" priority="40">
      <formula>IF($C8&gt;$E8,TRUE)</formula>
    </cfRule>
  </conditionalFormatting>
  <conditionalFormatting sqref="E8:E17">
    <cfRule type="expression" dxfId="1274" priority="41">
      <formula>IF($C8&lt;$E8,TRUE)</formula>
    </cfRule>
  </conditionalFormatting>
  <conditionalFormatting sqref="K8:K17">
    <cfRule type="expression" dxfId="1273" priority="48">
      <formula>IF($K8&gt;$M8,TRUE)</formula>
    </cfRule>
  </conditionalFormatting>
  <conditionalFormatting sqref="M8:M17">
    <cfRule type="expression" dxfId="1272" priority="49">
      <formula>IF($K8&lt;$M8,TRUE)</formula>
    </cfRule>
  </conditionalFormatting>
  <conditionalFormatting sqref="O8:O17">
    <cfRule type="expression" dxfId="1271" priority="52">
      <formula>IF($O8&gt;$Q8,TRUE)</formula>
    </cfRule>
  </conditionalFormatting>
  <conditionalFormatting sqref="Q8:Q17">
    <cfRule type="expression" dxfId="1270" priority="53">
      <formula>IF($O8&lt;$Q8,TRUE)</formula>
    </cfRule>
  </conditionalFormatting>
  <conditionalFormatting sqref="S8:S17">
    <cfRule type="expression" dxfId="1269" priority="56">
      <formula>IF($S8&gt;$U8,TRUE)</formula>
    </cfRule>
  </conditionalFormatting>
  <conditionalFormatting sqref="U8:U17">
    <cfRule type="expression" dxfId="1268" priority="57">
      <formula>IF($S8&lt;$U8,TRUE)</formula>
    </cfRule>
  </conditionalFormatting>
  <conditionalFormatting sqref="G8:G17">
    <cfRule type="expression" dxfId="1267" priority="44">
      <formula>IF($G8&gt;$I8,TRUE)</formula>
    </cfRule>
  </conditionalFormatting>
  <conditionalFormatting sqref="I8:I17">
    <cfRule type="expression" dxfId="1266" priority="45">
      <formula>IF($G8&lt;$I8,TRUE)</formula>
    </cfRule>
  </conditionalFormatting>
  <conditionalFormatting sqref="F8:F17">
    <cfRule type="containsText" dxfId="1265" priority="31" operator="containsText" text="vaba voor">
      <formula>NOT(ISERROR(SEARCH("vaba voor",F8)))</formula>
    </cfRule>
  </conditionalFormatting>
  <conditionalFormatting sqref="N8:N17">
    <cfRule type="containsText" dxfId="1264" priority="29" operator="containsText" text="vaba voor">
      <formula>NOT(ISERROR(SEARCH("vaba voor",N8)))</formula>
    </cfRule>
  </conditionalFormatting>
  <conditionalFormatting sqref="R8:R17">
    <cfRule type="containsText" dxfId="1263" priority="32" operator="containsText" text="vaba voor">
      <formula>NOT(ISERROR(SEARCH("vaba voor",R8)))</formula>
    </cfRule>
  </conditionalFormatting>
  <conditionalFormatting sqref="V8:V17">
    <cfRule type="containsText" dxfId="1262" priority="28" operator="containsText" text="vaba voor">
      <formula>NOT(ISERROR(SEARCH("vaba voor",V8)))</formula>
    </cfRule>
  </conditionalFormatting>
  <conditionalFormatting sqref="J8:J17">
    <cfRule type="containsText" dxfId="1261" priority="30" operator="containsText" text="vaba voor">
      <formula>NOT(ISERROR(SEARCH("vaba voor",J8)))</formula>
    </cfRule>
  </conditionalFormatting>
  <conditionalFormatting sqref="C8:F17">
    <cfRule type="expression" dxfId="1260" priority="36">
      <formula>IF(AND(ISNUMBER($C8),$C8=$E8),TRUE)</formula>
    </cfRule>
    <cfRule type="expression" dxfId="1259" priority="38">
      <formula>IF($C8&gt;$E8,TRUE)</formula>
    </cfRule>
    <cfRule type="expression" dxfId="1258" priority="39">
      <formula>IF($C8&lt;$E8,TRUE)</formula>
    </cfRule>
  </conditionalFormatting>
  <conditionalFormatting sqref="G8:J17">
    <cfRule type="expression" dxfId="1257" priority="37">
      <formula>IF(AND(ISNUMBER($G8),$G8=$I8),TRUE)</formula>
    </cfRule>
    <cfRule type="expression" dxfId="1256" priority="42">
      <formula>IF($G8&gt;$I8,TRUE)</formula>
    </cfRule>
    <cfRule type="expression" dxfId="1255" priority="43">
      <formula>IF($G8&lt;$I8,TRUE)</formula>
    </cfRule>
  </conditionalFormatting>
  <conditionalFormatting sqref="K8:N17">
    <cfRule type="expression" dxfId="1254" priority="35">
      <formula>IF(AND(ISNUMBER($K8),$K8=$M8),TRUE)</formula>
    </cfRule>
    <cfRule type="expression" dxfId="1253" priority="46">
      <formula>IF($K8&gt;$M8,TRUE)</formula>
    </cfRule>
    <cfRule type="expression" dxfId="1252" priority="47">
      <formula>IF($K8&lt;$M8,TRUE)</formula>
    </cfRule>
  </conditionalFormatting>
  <conditionalFormatting sqref="O8:R17">
    <cfRule type="expression" dxfId="1251" priority="34">
      <formula>IF(AND(ISNUMBER($O8),$O8=$Q8),TRUE)</formula>
    </cfRule>
    <cfRule type="expression" dxfId="1250" priority="50">
      <formula>IF($O8&gt;$Q8,TRUE)</formula>
    </cfRule>
    <cfRule type="expression" dxfId="1249" priority="51">
      <formula>IF($O8&lt;$Q8,TRUE)</formula>
    </cfRule>
  </conditionalFormatting>
  <conditionalFormatting sqref="S8:V17">
    <cfRule type="expression" dxfId="1248" priority="33">
      <formula>IF(AND(ISNUMBER($S8),$S8=$U8),TRUE)</formula>
    </cfRule>
    <cfRule type="expression" dxfId="1247" priority="54">
      <formula>IF($S8&gt;$U8,TRUE)</formula>
    </cfRule>
    <cfRule type="expression" dxfId="1246" priority="55">
      <formula>IF($S8&lt;$U8,TRUE)</formula>
    </cfRule>
  </conditionalFormatting>
  <conditionalFormatting sqref="C8:C17 G8:G17 K8:K17 O8:O17 S8:S17">
    <cfRule type="expression" dxfId="1245" priority="26">
      <formula>AND(C8=0,E8=13)</formula>
    </cfRule>
  </conditionalFormatting>
  <conditionalFormatting sqref="E8:E17 I8:I17 M8:M17 Q8:Q17 U8:U17">
    <cfRule type="expression" dxfId="1244" priority="27">
      <formula>AND(E8=0,C8=13)</formula>
    </cfRule>
  </conditionalFormatting>
  <conditionalFormatting sqref="A8:A17">
    <cfRule type="duplicateValues" dxfId="1243" priority="154"/>
  </conditionalFormatting>
  <conditionalFormatting sqref="AJ6:AJ17">
    <cfRule type="expression" dxfId="1242" priority="5">
      <formula>AND(AI6="",FIND(",",AJ6))</formula>
    </cfRule>
    <cfRule type="expression" dxfId="1241" priority="7">
      <formula>AND(AI6="",COUNTIF(AJ6,"*,*")=0)</formula>
    </cfRule>
  </conditionalFormatting>
  <conditionalFormatting sqref="AH6:AH17">
    <cfRule type="expression" dxfId="1240" priority="8">
      <formula>AND(AG6="",FIND(",",AH6))</formula>
    </cfRule>
    <cfRule type="expression" dxfId="1239" priority="9">
      <formula>AND(AG6="",COUNTIF(AH6,"*,*")=0)</formula>
    </cfRule>
  </conditionalFormatting>
  <conditionalFormatting sqref="AL6:AL17">
    <cfRule type="expression" dxfId="1238" priority="10">
      <formula>AND(AK6="",FIND(",",AL6))</formula>
    </cfRule>
    <cfRule type="expression" dxfId="1237" priority="11">
      <formula>AND(AK6="",COUNTIF(AL6,"*,*")=0)</formula>
    </cfRule>
  </conditionalFormatting>
  <conditionalFormatting sqref="AF6:AF17">
    <cfRule type="expression" dxfId="1236" priority="6">
      <formula>AND(AE6="",COUNTIF(AF6,"*,*")=0)</formula>
    </cfRule>
  </conditionalFormatting>
  <conditionalFormatting sqref="AN6:AN17">
    <cfRule type="expression" dxfId="1235" priority="2">
      <formula>AND(AM6="",COUNTIF(AN6,"*,*")=0)</formula>
    </cfRule>
    <cfRule type="expression" dxfId="1234" priority="4">
      <formula>AND(AM6="",FIND(",",AN6))</formula>
    </cfRule>
  </conditionalFormatting>
  <conditionalFormatting sqref="AP6:AP17">
    <cfRule type="expression" dxfId="1233" priority="1">
      <formula>AND(AO6="",COUNTIF(AP6,"*,*")=0)</formula>
    </cfRule>
    <cfRule type="expression" dxfId="1232" priority="3">
      <formula>AND(AO6="",FIND(",",AP6))</formula>
    </cfRule>
  </conditionalFormatting>
  <conditionalFormatting sqref="A300:A309">
    <cfRule type="duplicateValues" dxfId="1231" priority="589"/>
  </conditionalFormatting>
  <conditionalFormatting sqref="B300:B309">
    <cfRule type="expression" dxfId="1230" priority="590">
      <formula>A300=3</formula>
    </cfRule>
    <cfRule type="expression" dxfId="1229" priority="591">
      <formula>A300=2</formula>
    </cfRule>
    <cfRule type="expression" dxfId="1228" priority="592">
      <formula>A300=1</formula>
    </cfRule>
    <cfRule type="containsBlanks" dxfId="1227" priority="593">
      <formula>LEN(TRIM(B300))=0</formula>
    </cfRule>
    <cfRule type="duplicateValues" dxfId="1226" priority="594"/>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09"/>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1.71093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 min="39" max="39" width="9.140625" hidden="1" customWidth="1"/>
    <col min="40" max="40" width="17.28515625" hidden="1" customWidth="1"/>
    <col min="41" max="41" width="9.140625" hidden="1" customWidth="1"/>
    <col min="42" max="42" width="13.85546875" hidden="1" customWidth="1"/>
  </cols>
  <sheetData>
    <row r="1" spans="1:42" x14ac:dyDescent="0.2">
      <c r="A1" s="462" t="str">
        <f>UPPER((Kalend!E12)&amp;" - "&amp;(Kalend!C12)&amp;" - "&amp;(Kalend!D12))</f>
        <v>V3 - VOKA VIII KV 3. ETAPP - DUO</v>
      </c>
      <c r="B1" s="403"/>
      <c r="C1" s="404"/>
      <c r="D1" s="403"/>
      <c r="E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"&amp;(Kalend!A12)&amp;" kell "&amp;(Kalend!B12)</f>
        <v>Toimumisaeg: K, 02.06.2021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"&amp;(Kalend!F12)</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"&amp;(Kalend!G12)</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SUM(AE7:AP7)</f>
        <v>0</v>
      </c>
      <c r="AE7" s="459" t="str">
        <f>IFERROR(INDEX(V!$R:$R,MATCH(AF7,V!$L:$L,0)),"")</f>
        <v/>
      </c>
      <c r="AF7" s="460" t="str">
        <f t="shared" ref="AF7:AF17" si="1">IFERROR(LEFT($B7,(FIND(",",$B7,1)-1)),"")</f>
        <v/>
      </c>
      <c r="AG7" s="459" t="str">
        <f>IFERROR(INDEX(V!$R:$R,MATCH(AH7,V!$L:$L,0)),"")</f>
        <v/>
      </c>
      <c r="AH7" s="460" t="str">
        <f t="shared" ref="AH7:AH17" si="2">IFERROR(MID($B7,FIND(", ",$B7)+2,256),"")</f>
        <v/>
      </c>
      <c r="AI7" s="459" t="str">
        <f>IFERROR(INDEX(V!$R:$R,MATCH(AJ7,V!$L:$L,0)),"")</f>
        <v/>
      </c>
      <c r="AJ7" s="460" t="str">
        <f t="shared" ref="AJ7:AJ17" si="3">IFERROR(MID($B7,FIND("^",SUBSTITUTE($B7,", ","^",1))+2,FIND("^",SUBSTITUTE($B7,", ","^",2))-FIND("^",SUBSTITUTE($B7,", ","^",1))-2),"")</f>
        <v/>
      </c>
      <c r="AK7" s="459" t="str">
        <f>IFERROR(INDEX(V!$R:$R,MATCH(AL7,V!$L:$L,0)),"")</f>
        <v/>
      </c>
      <c r="AL7" s="460" t="str">
        <f t="shared" ref="AL7:AL17" si="4">IFERROR(MID($B7,FIND(", ",$B7,FIND(", ",$B7,FIND(", ",$B7))+1)+2,30000),"")</f>
        <v/>
      </c>
      <c r="AM7" s="459" t="str">
        <f>IFERROR(INDEX(V!$R:$R,MATCH(AN7,V!$L:$L,0)),"")</f>
        <v/>
      </c>
      <c r="AN7" s="460" t="str">
        <f t="shared" ref="AN7:AN17" si="5">IFERROR(MID($B7,FIND(", ",$B7,FIND(", ",$B7)+1)+2,FIND(", ",$B7,FIND(", ",$B7,FIND(", ",$B7)+1)+1)-FIND(", ",$B7,FIND(", ",$B7)+1)-2),"")</f>
        <v/>
      </c>
      <c r="AO7" s="459" t="str">
        <f>IFERROR(INDEX(V!$R:$R,MATCH(AP7,V!$L:$L,0)),"")</f>
        <v/>
      </c>
      <c r="AP7" s="460" t="str">
        <f t="shared" ref="AP7:AP17" si="6">IFERROR(MID($B7,FIND(", ",$B7,FIND(", ",$B7,FIND(", ",$B7)+1)+1)+2,30000),"")</f>
        <v/>
      </c>
    </row>
    <row r="8" spans="1:42" x14ac:dyDescent="0.2">
      <c r="A8" s="435">
        <v>1</v>
      </c>
      <c r="B8" s="436" t="s">
        <v>492</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217</v>
      </c>
      <c r="AE8" s="459">
        <f>IFERROR(INDEX(V!$R:$R,MATCH(AF8,V!$L:$L,0)),"")</f>
        <v>114</v>
      </c>
      <c r="AF8" s="460" t="str">
        <f t="shared" si="1"/>
        <v>Oliver Ojasalu</v>
      </c>
      <c r="AG8" s="459">
        <f>IFERROR(INDEX(V!$R:$R,MATCH(AH8,V!$L:$L,0)),"")</f>
        <v>103</v>
      </c>
      <c r="AH8" s="460" t="str">
        <f t="shared" si="2"/>
        <v>Tõnis Neiland</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491</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7" si="7">IF(C9&gt;E9,J$3,IF(C9&lt;E9,J$5,IF(ISNUMBER(C9),J$4,0)))+IF(G9&gt;I9,J$3,IF(G9&lt;I9,J$5,IF(ISNUMBER(G9),J$4,0)))+IF(K9&gt;M9,J$3,IF(K9&lt;M9,J$5,IF(ISNUMBER(K9),J$4,0)))+IF(O9&gt;Q9,J$3,IF(O9&lt;Q9,J$5,IF(ISNUMBER(O9),J$4,0)))+IF(S9&gt;U9,J$3,IF(S9&lt;U9,J$5,IF(ISNUMBER(S9),J$4,0)))</f>
        <v>0</v>
      </c>
      <c r="X9" s="442"/>
      <c r="Y9" s="437">
        <f t="shared" ref="Y9:Y17" si="8">C9+G9+K9+O9+S9</f>
        <v>0</v>
      </c>
      <c r="Z9" s="438" t="s">
        <v>246</v>
      </c>
      <c r="AA9" s="443">
        <f t="shared" ref="AA9:AA17" si="9">E9+I9+M9+Q9+U9</f>
        <v>0</v>
      </c>
      <c r="AB9" s="444">
        <f t="shared" ref="AB9:AB17" si="10">Y9-AA9</f>
        <v>0</v>
      </c>
      <c r="AC9" s="445"/>
      <c r="AD9" s="458">
        <f t="shared" si="0"/>
        <v>242</v>
      </c>
      <c r="AE9" s="459">
        <f>IFERROR(INDEX(V!$R:$R,MATCH(AF9,V!$L:$L,0)),"")</f>
        <v>139</v>
      </c>
      <c r="AF9" s="460" t="str">
        <f t="shared" si="1"/>
        <v>Kaspar Mänd</v>
      </c>
      <c r="AG9" s="459">
        <f>IFERROR(INDEX(V!$R:$R,MATCH(AH9,V!$L:$L,0)),"")</f>
        <v>103</v>
      </c>
      <c r="AH9" s="460" t="str">
        <f t="shared" si="2"/>
        <v>Olav Türk</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251</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314</v>
      </c>
      <c r="AE10" s="459">
        <f>IFERROR(INDEX(V!$R:$R,MATCH(AF10,V!$L:$L,0)),"")</f>
        <v>159</v>
      </c>
      <c r="AF10" s="460" t="str">
        <f t="shared" si="1"/>
        <v>Meelis Luud</v>
      </c>
      <c r="AG10" s="459">
        <f>IFERROR(INDEX(V!$R:$R,MATCH(AH10,V!$L:$L,0)),"")</f>
        <v>155</v>
      </c>
      <c r="AH10" s="460" t="str">
        <f t="shared" si="2"/>
        <v>Sander Rose</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498</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223</v>
      </c>
      <c r="AE11" s="459">
        <f>IFERROR(INDEX(V!$R:$R,MATCH(AF11,V!$L:$L,0)),"")</f>
        <v>129</v>
      </c>
      <c r="AF11" s="460" t="str">
        <f t="shared" si="1"/>
        <v>Jaan Saar</v>
      </c>
      <c r="AG11" s="459">
        <f>IFERROR(INDEX(V!$R:$R,MATCH(AH11,V!$L:$L,0)),"")</f>
        <v>94</v>
      </c>
      <c r="AH11" s="460" t="str">
        <f t="shared" si="2"/>
        <v>Lemmit Toomra</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468</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277</v>
      </c>
      <c r="AE12" s="459">
        <f>IFERROR(INDEX(V!$R:$R,MATCH(AF12,V!$L:$L,0)),"")</f>
        <v>160</v>
      </c>
      <c r="AF12" s="460" t="str">
        <f t="shared" si="1"/>
        <v>Kenneth Muusikus</v>
      </c>
      <c r="AG12" s="459">
        <f>IFERROR(INDEX(V!$R:$R,MATCH(AH12,V!$L:$L,0)),"")</f>
        <v>117</v>
      </c>
      <c r="AH12" s="460" t="str">
        <f t="shared" si="2"/>
        <v>Oleg Rõndenkov</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250</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138</v>
      </c>
      <c r="AE13" s="459">
        <f>IFERROR(INDEX(V!$R:$R,MATCH(AF13,V!$L:$L,0)),"")</f>
        <v>92</v>
      </c>
      <c r="AF13" s="460" t="str">
        <f t="shared" si="1"/>
        <v>Tõnu Kapper</v>
      </c>
      <c r="AG13" s="459">
        <f>IFERROR(INDEX(V!$R:$R,MATCH(AH13,V!$L:$L,0)),"")</f>
        <v>46</v>
      </c>
      <c r="AH13" s="460" t="str">
        <f t="shared" si="2"/>
        <v>Vladimir Ogneštšikov</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252</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143</v>
      </c>
      <c r="AE14" s="459">
        <f>IFERROR(INDEX(V!$R:$R,MATCH(AF14,V!$L:$L,0)),"")</f>
        <v>75</v>
      </c>
      <c r="AF14" s="460" t="str">
        <f t="shared" si="1"/>
        <v>Enn Tokman</v>
      </c>
      <c r="AG14" s="459">
        <f>IFERROR(INDEX(V!$R:$R,MATCH(AH14,V!$L:$L,0)),"")</f>
        <v>68</v>
      </c>
      <c r="AH14" s="460" t="str">
        <f t="shared" si="2"/>
        <v>Tarmo Bombe</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255</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259</v>
      </c>
      <c r="AE15" s="459">
        <f>IFERROR(INDEX(V!$R:$R,MATCH(AF15,V!$L:$L,0)),"")</f>
        <v>139</v>
      </c>
      <c r="AF15" s="460" t="str">
        <f t="shared" si="1"/>
        <v>Andres Veski</v>
      </c>
      <c r="AG15" s="459">
        <f>IFERROR(INDEX(V!$R:$R,MATCH(AH15,V!$L:$L,0)),"")</f>
        <v>120</v>
      </c>
      <c r="AH15" s="460" t="str">
        <f t="shared" si="2"/>
        <v>Svetlana Veski</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258</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271</v>
      </c>
      <c r="AE16" s="459">
        <f>IFERROR(INDEX(V!$R:$R,MATCH(AF16,V!$L:$L,0)),"")</f>
        <v>132</v>
      </c>
      <c r="AF16" s="460" t="str">
        <f t="shared" si="1"/>
        <v>Henri Mitt</v>
      </c>
      <c r="AG16" s="459">
        <f>IFERROR(INDEX(V!$R:$R,MATCH(AH16,V!$L:$L,0)),"")</f>
        <v>139</v>
      </c>
      <c r="AH16" s="460" t="str">
        <f t="shared" si="2"/>
        <v>Urmas Randlaine</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499</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140</v>
      </c>
      <c r="AE17" s="459">
        <f>IFERROR(INDEX(V!$R:$R,MATCH(AF17,V!$L:$L,0)),"")</f>
        <v>98</v>
      </c>
      <c r="AF17" s="460" t="str">
        <f t="shared" si="1"/>
        <v>Andrei Grintšak</v>
      </c>
      <c r="AG17" s="459">
        <f>IFERROR(INDEX(V!$R:$R,MATCH(AH17,V!$L:$L,0)),"")</f>
        <v>42</v>
      </c>
      <c r="AH17" s="460" t="str">
        <f t="shared" si="2"/>
        <v>Daniil Alekankin</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9" spans="1:42" hidden="1" x14ac:dyDescent="0.2">
      <c r="A19" s="403"/>
      <c r="B19" s="403"/>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3"/>
      <c r="AL19" s="403"/>
      <c r="AM19" s="403"/>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7"/>
      <c r="M134" s="407"/>
      <c r="N134" s="407"/>
      <c r="O134" s="403"/>
      <c r="P134" s="403"/>
      <c r="Q134" s="403"/>
      <c r="R134" s="403"/>
      <c r="S134" s="403"/>
      <c r="T134" s="407"/>
      <c r="U134" s="407"/>
      <c r="V134" s="407"/>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7"/>
      <c r="M163" s="407"/>
      <c r="N163" s="407"/>
      <c r="O163" s="403"/>
      <c r="P163" s="403"/>
      <c r="Q163" s="403"/>
      <c r="R163" s="403"/>
      <c r="S163" s="403"/>
      <c r="T163" s="407"/>
      <c r="U163" s="407"/>
      <c r="V163" s="407"/>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D286" s="448"/>
      <c r="E286" s="448"/>
      <c r="F286" s="403"/>
      <c r="G286" s="403"/>
      <c r="H286" s="403"/>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52"/>
      <c r="E287" s="452"/>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04"/>
      <c r="E288" s="404"/>
      <c r="F288" s="403"/>
      <c r="G288" s="403"/>
      <c r="H288" s="403"/>
      <c r="I288" s="403"/>
      <c r="J288" s="403"/>
      <c r="K288" s="403"/>
      <c r="L288" s="403"/>
      <c r="M288" s="403"/>
      <c r="N288" s="403"/>
      <c r="O288" s="403"/>
      <c r="P288" s="403"/>
      <c r="Q288" s="403"/>
      <c r="R288" s="403"/>
      <c r="S288" s="403"/>
      <c r="T288" s="403"/>
      <c r="U288" s="403"/>
      <c r="V288" s="403"/>
      <c r="W288" s="45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5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row>
    <row r="297" spans="1:39" hidden="1" x14ac:dyDescent="0.2">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row>
    <row r="299" spans="1:39" x14ac:dyDescent="0.2">
      <c r="A299" s="403"/>
      <c r="B299" s="403"/>
      <c r="C299" s="447" t="s">
        <v>69</v>
      </c>
      <c r="F299" s="985" t="s">
        <v>84</v>
      </c>
    </row>
    <row r="300" spans="1:39" x14ac:dyDescent="0.2">
      <c r="A300" s="449">
        <v>1</v>
      </c>
      <c r="B300" s="450" t="str">
        <f t="shared" ref="B300:B309" si="11">IFERROR(INDEX(B$1:B$87,MATCH(A300,A$1:A$87,0)),"")</f>
        <v>Oliver Ojasalu, Tõnis Neiland</v>
      </c>
      <c r="C300" s="451">
        <f t="shared" ref="C300:C309" si="12">IF(21-A300&gt;0,IF(OR(A300=A301,A299=A300),21-A300-0.5,21-A300),1)</f>
        <v>20</v>
      </c>
      <c r="F300" s="985">
        <v>4</v>
      </c>
    </row>
    <row r="301" spans="1:39" x14ac:dyDescent="0.2">
      <c r="A301" s="449">
        <v>2</v>
      </c>
      <c r="B301" s="450" t="str">
        <f t="shared" si="11"/>
        <v>Kaspar Mänd, Olav Türk</v>
      </c>
      <c r="C301" s="451">
        <f t="shared" si="12"/>
        <v>19</v>
      </c>
      <c r="F301" s="985">
        <v>4</v>
      </c>
    </row>
    <row r="302" spans="1:39" x14ac:dyDescent="0.2">
      <c r="A302" s="449">
        <v>3</v>
      </c>
      <c r="B302" s="450" t="str">
        <f t="shared" si="11"/>
        <v>Meelis Luud, Sander Rose</v>
      </c>
      <c r="C302" s="451">
        <f t="shared" si="12"/>
        <v>18</v>
      </c>
      <c r="F302" s="985">
        <v>3.5</v>
      </c>
    </row>
    <row r="303" spans="1:39" x14ac:dyDescent="0.2">
      <c r="A303" s="449">
        <v>4</v>
      </c>
      <c r="B303" s="450" t="str">
        <f t="shared" si="11"/>
        <v>Jaan Saar, Lemmit Toomra</v>
      </c>
      <c r="C303" s="451">
        <f t="shared" si="12"/>
        <v>17</v>
      </c>
      <c r="F303" s="985">
        <v>3</v>
      </c>
    </row>
    <row r="304" spans="1:39" x14ac:dyDescent="0.2">
      <c r="A304" s="449">
        <v>5</v>
      </c>
      <c r="B304" s="450" t="str">
        <f t="shared" si="11"/>
        <v>Kenneth Muusikus, Oleg Rõndenkov</v>
      </c>
      <c r="C304" s="451">
        <f t="shared" si="12"/>
        <v>16</v>
      </c>
      <c r="F304" s="985">
        <v>2.5</v>
      </c>
    </row>
    <row r="305" spans="1:6" x14ac:dyDescent="0.2">
      <c r="A305" s="449">
        <v>6</v>
      </c>
      <c r="B305" s="450" t="str">
        <f t="shared" si="11"/>
        <v>Tõnu Kapper, Vladimir Ogneštšikov</v>
      </c>
      <c r="C305" s="451">
        <f t="shared" si="12"/>
        <v>15</v>
      </c>
      <c r="F305" s="985">
        <v>2</v>
      </c>
    </row>
    <row r="306" spans="1:6" x14ac:dyDescent="0.2">
      <c r="A306" s="449">
        <v>7</v>
      </c>
      <c r="B306" s="450" t="str">
        <f t="shared" si="11"/>
        <v>Enn Tokman, Tarmo Bombe</v>
      </c>
      <c r="C306" s="451">
        <f t="shared" si="12"/>
        <v>14</v>
      </c>
      <c r="F306" s="985">
        <v>2</v>
      </c>
    </row>
    <row r="307" spans="1:6" x14ac:dyDescent="0.2">
      <c r="A307" s="449">
        <v>8</v>
      </c>
      <c r="B307" s="450" t="str">
        <f t="shared" si="11"/>
        <v>Andres Veski, Svetlana Veski</v>
      </c>
      <c r="C307" s="451">
        <f t="shared" si="12"/>
        <v>13</v>
      </c>
      <c r="F307" s="985">
        <v>2</v>
      </c>
    </row>
    <row r="308" spans="1:6" x14ac:dyDescent="0.2">
      <c r="A308" s="449">
        <v>9</v>
      </c>
      <c r="B308" s="450" t="str">
        <f t="shared" si="11"/>
        <v>Henri Mitt, Urmas Randlaine</v>
      </c>
      <c r="C308" s="451">
        <f t="shared" si="12"/>
        <v>12</v>
      </c>
      <c r="F308" s="985">
        <v>1</v>
      </c>
    </row>
    <row r="309" spans="1:6" x14ac:dyDescent="0.2">
      <c r="A309" s="449">
        <v>10</v>
      </c>
      <c r="B309" s="450" t="str">
        <f t="shared" si="11"/>
        <v>Andrei Grintšak, Daniil Alekankin</v>
      </c>
      <c r="C309" s="451">
        <f t="shared" si="12"/>
        <v>11</v>
      </c>
      <c r="F309" s="985">
        <v>1</v>
      </c>
    </row>
  </sheetData>
  <conditionalFormatting sqref="C8:C17">
    <cfRule type="expression" dxfId="1225" priority="40">
      <formula>IF($C8&gt;$E8,TRUE)</formula>
    </cfRule>
  </conditionalFormatting>
  <conditionalFormatting sqref="E8:E17">
    <cfRule type="expression" dxfId="1224" priority="41">
      <formula>IF($C8&lt;$E8,TRUE)</formula>
    </cfRule>
  </conditionalFormatting>
  <conditionalFormatting sqref="K8:K17">
    <cfRule type="expression" dxfId="1223" priority="48">
      <formula>IF($K8&gt;$M8,TRUE)</formula>
    </cfRule>
  </conditionalFormatting>
  <conditionalFormatting sqref="M8:M17">
    <cfRule type="expression" dxfId="1222" priority="49">
      <formula>IF($K8&lt;$M8,TRUE)</formula>
    </cfRule>
  </conditionalFormatting>
  <conditionalFormatting sqref="O8:O17">
    <cfRule type="expression" dxfId="1221" priority="52">
      <formula>IF($O8&gt;$Q8,TRUE)</formula>
    </cfRule>
  </conditionalFormatting>
  <conditionalFormatting sqref="Q8:Q17">
    <cfRule type="expression" dxfId="1220" priority="53">
      <formula>IF($O8&lt;$Q8,TRUE)</formula>
    </cfRule>
  </conditionalFormatting>
  <conditionalFormatting sqref="S8:S17">
    <cfRule type="expression" dxfId="1219" priority="56">
      <formula>IF($S8&gt;$U8,TRUE)</formula>
    </cfRule>
  </conditionalFormatting>
  <conditionalFormatting sqref="U8:U17">
    <cfRule type="expression" dxfId="1218" priority="57">
      <formula>IF($S8&lt;$U8,TRUE)</formula>
    </cfRule>
  </conditionalFormatting>
  <conditionalFormatting sqref="G8:G17">
    <cfRule type="expression" dxfId="1217" priority="44">
      <formula>IF($G8&gt;$I8,TRUE)</formula>
    </cfRule>
  </conditionalFormatting>
  <conditionalFormatting sqref="I8:I17">
    <cfRule type="expression" dxfId="1216" priority="45">
      <formula>IF($G8&lt;$I8,TRUE)</formula>
    </cfRule>
  </conditionalFormatting>
  <conditionalFormatting sqref="F8:F17">
    <cfRule type="containsText" dxfId="1215" priority="31" operator="containsText" text="vaba voor">
      <formula>NOT(ISERROR(SEARCH("vaba voor",F8)))</formula>
    </cfRule>
  </conditionalFormatting>
  <conditionalFormatting sqref="N8:N17">
    <cfRule type="containsText" dxfId="1214" priority="29" operator="containsText" text="vaba voor">
      <formula>NOT(ISERROR(SEARCH("vaba voor",N8)))</formula>
    </cfRule>
  </conditionalFormatting>
  <conditionalFormatting sqref="R8:R17">
    <cfRule type="containsText" dxfId="1213" priority="32" operator="containsText" text="vaba voor">
      <formula>NOT(ISERROR(SEARCH("vaba voor",R8)))</formula>
    </cfRule>
  </conditionalFormatting>
  <conditionalFormatting sqref="V8:V17">
    <cfRule type="containsText" dxfId="1212" priority="28" operator="containsText" text="vaba voor">
      <formula>NOT(ISERROR(SEARCH("vaba voor",V8)))</formula>
    </cfRule>
  </conditionalFormatting>
  <conditionalFormatting sqref="J8:J17">
    <cfRule type="containsText" dxfId="1211" priority="30" operator="containsText" text="vaba voor">
      <formula>NOT(ISERROR(SEARCH("vaba voor",J8)))</formula>
    </cfRule>
  </conditionalFormatting>
  <conditionalFormatting sqref="C8:F17">
    <cfRule type="expression" dxfId="1210" priority="36">
      <formula>IF(AND(ISNUMBER($C8),$C8=$E8),TRUE)</formula>
    </cfRule>
    <cfRule type="expression" dxfId="1209" priority="38">
      <formula>IF($C8&gt;$E8,TRUE)</formula>
    </cfRule>
    <cfRule type="expression" dxfId="1208" priority="39">
      <formula>IF($C8&lt;$E8,TRUE)</formula>
    </cfRule>
  </conditionalFormatting>
  <conditionalFormatting sqref="G8:J17">
    <cfRule type="expression" dxfId="1207" priority="37">
      <formula>IF(AND(ISNUMBER($G8),$G8=$I8),TRUE)</formula>
    </cfRule>
    <cfRule type="expression" dxfId="1206" priority="42">
      <formula>IF($G8&gt;$I8,TRUE)</formula>
    </cfRule>
    <cfRule type="expression" dxfId="1205" priority="43">
      <formula>IF($G8&lt;$I8,TRUE)</formula>
    </cfRule>
  </conditionalFormatting>
  <conditionalFormatting sqref="K8:N17">
    <cfRule type="expression" dxfId="1204" priority="35">
      <formula>IF(AND(ISNUMBER($K8),$K8=$M8),TRUE)</formula>
    </cfRule>
    <cfRule type="expression" dxfId="1203" priority="46">
      <formula>IF($K8&gt;$M8,TRUE)</formula>
    </cfRule>
    <cfRule type="expression" dxfId="1202" priority="47">
      <formula>IF($K8&lt;$M8,TRUE)</formula>
    </cfRule>
  </conditionalFormatting>
  <conditionalFormatting sqref="O8:R17">
    <cfRule type="expression" dxfId="1201" priority="34">
      <formula>IF(AND(ISNUMBER($O8),$O8=$Q8),TRUE)</formula>
    </cfRule>
    <cfRule type="expression" dxfId="1200" priority="50">
      <formula>IF($O8&gt;$Q8,TRUE)</formula>
    </cfRule>
    <cfRule type="expression" dxfId="1199" priority="51">
      <formula>IF($O8&lt;$Q8,TRUE)</formula>
    </cfRule>
  </conditionalFormatting>
  <conditionalFormatting sqref="S8:V17">
    <cfRule type="expression" dxfId="1198" priority="33">
      <formula>IF(AND(ISNUMBER($S8),$S8=$U8),TRUE)</formula>
    </cfRule>
    <cfRule type="expression" dxfId="1197" priority="54">
      <formula>IF($S8&gt;$U8,TRUE)</formula>
    </cfRule>
    <cfRule type="expression" dxfId="1196" priority="55">
      <formula>IF($S8&lt;$U8,TRUE)</formula>
    </cfRule>
  </conditionalFormatting>
  <conditionalFormatting sqref="C8:C17 G8:G17 K8:K17 O8:O17 S8:S17">
    <cfRule type="expression" dxfId="1195" priority="26">
      <formula>AND(C8=0,E8=13)</formula>
    </cfRule>
  </conditionalFormatting>
  <conditionalFormatting sqref="E8:E17 I8:I17 M8:M17 Q8:Q17 U8:U17">
    <cfRule type="expression" dxfId="1194" priority="27">
      <formula>AND(E8=0,C8=13)</formula>
    </cfRule>
  </conditionalFormatting>
  <conditionalFormatting sqref="A300:A309">
    <cfRule type="duplicateValues" dxfId="1193" priority="98"/>
  </conditionalFormatting>
  <conditionalFormatting sqref="A8:A17">
    <cfRule type="duplicateValues" dxfId="1192" priority="153"/>
  </conditionalFormatting>
  <conditionalFormatting sqref="B300:B309">
    <cfRule type="expression" dxfId="1191" priority="191">
      <formula>A300=3</formula>
    </cfRule>
    <cfRule type="expression" dxfId="1190" priority="192">
      <formula>A300=2</formula>
    </cfRule>
    <cfRule type="expression" dxfId="1189" priority="193">
      <formula>A300=1</formula>
    </cfRule>
    <cfRule type="containsBlanks" dxfId="1188" priority="194">
      <formula>LEN(TRIM(B300))=0</formula>
    </cfRule>
    <cfRule type="duplicateValues" dxfId="1187" priority="195"/>
  </conditionalFormatting>
  <conditionalFormatting sqref="AJ6:AJ17">
    <cfRule type="expression" dxfId="1186" priority="5">
      <formula>AND(AI6="",FIND(",",AJ6))</formula>
    </cfRule>
    <cfRule type="expression" dxfId="1185" priority="7">
      <formula>AND(AI6="",COUNTIF(AJ6,"*,*")=0)</formula>
    </cfRule>
  </conditionalFormatting>
  <conditionalFormatting sqref="AH6:AH17">
    <cfRule type="expression" dxfId="1184" priority="8">
      <formula>AND(AG6="",FIND(",",AH6))</formula>
    </cfRule>
    <cfRule type="expression" dxfId="1183" priority="9">
      <formula>AND(AG6="",COUNTIF(AH6,"*,*")=0)</formula>
    </cfRule>
  </conditionalFormatting>
  <conditionalFormatting sqref="AL6:AL17">
    <cfRule type="expression" dxfId="1182" priority="10">
      <formula>AND(AK6="",FIND(",",AL6))</formula>
    </cfRule>
    <cfRule type="expression" dxfId="1181" priority="11">
      <formula>AND(AK6="",COUNTIF(AL6,"*,*")=0)</formula>
    </cfRule>
  </conditionalFormatting>
  <conditionalFormatting sqref="AF6:AF17">
    <cfRule type="expression" dxfId="1180" priority="6">
      <formula>AND(AE6="",COUNTIF(AF6,"*,*")=0)</formula>
    </cfRule>
  </conditionalFormatting>
  <conditionalFormatting sqref="AN6:AN17">
    <cfRule type="expression" dxfId="1179" priority="2">
      <formula>AND(AM6="",COUNTIF(AN6,"*,*")=0)</formula>
    </cfRule>
    <cfRule type="expression" dxfId="1178" priority="4">
      <formula>AND(AM6="",FIND(",",AN6))</formula>
    </cfRule>
  </conditionalFormatting>
  <conditionalFormatting sqref="AP6:AP17">
    <cfRule type="expression" dxfId="1177" priority="1">
      <formula>AND(AO6="",COUNTIF(AP6,"*,*")=0)</formula>
    </cfRule>
    <cfRule type="expression" dxfId="117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09"/>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28.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5.7109375" hidden="1" customWidth="1"/>
    <col min="33" max="33" width="9.140625" hidden="1" customWidth="1"/>
    <col min="34" max="34" width="16.57031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UPPER((Kalend!E17)&amp;" - "&amp;(Kalend!C17)&amp;" - "&amp;(Kalend!D17))</f>
        <v>V4 - VOKA VIII KV 4. ETAPP - DUO</v>
      </c>
      <c r="B1" s="403"/>
      <c r="C1" s="404"/>
      <c r="D1" s="403"/>
      <c r="E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"&amp;(Kalend!A17)&amp;" kell "&amp;(Kalend!B17)</f>
        <v>Toimumisaeg: K, 16.06.2021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"&amp;(Kalend!F17)</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"&amp;(Kalend!G17)</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SUM(AE7:AP7)</f>
        <v>0</v>
      </c>
      <c r="AE7" s="459" t="str">
        <f>IFERROR(INDEX(V!$R:$R,MATCH(AF7,V!$L:$L,0)),"")</f>
        <v/>
      </c>
      <c r="AF7" s="460" t="str">
        <f t="shared" ref="AF7:AF17" si="1">IFERROR(LEFT($B7,(FIND(",",$B7,1)-1)),"")</f>
        <v/>
      </c>
      <c r="AG7" s="459" t="str">
        <f>IFERROR(INDEX(V!$R:$R,MATCH(AH7,V!$L:$L,0)),"")</f>
        <v/>
      </c>
      <c r="AH7" s="460" t="str">
        <f t="shared" ref="AH7:AH17" si="2">IFERROR(MID($B7,FIND(", ",$B7)+2,256),"")</f>
        <v/>
      </c>
      <c r="AI7" s="459" t="str">
        <f>IFERROR(INDEX(V!$R:$R,MATCH(AJ7,V!$L:$L,0)),"")</f>
        <v/>
      </c>
      <c r="AJ7" s="460" t="str">
        <f t="shared" ref="AJ7:AJ17" si="3">IFERROR(MID($B7,FIND("^",SUBSTITUTE($B7,", ","^",1))+2,FIND("^",SUBSTITUTE($B7,", ","^",2))-FIND("^",SUBSTITUTE($B7,", ","^",1))-2),"")</f>
        <v/>
      </c>
      <c r="AK7" s="459" t="str">
        <f>IFERROR(INDEX(V!$R:$R,MATCH(AL7,V!$L:$L,0)),"")</f>
        <v/>
      </c>
      <c r="AL7" s="460" t="str">
        <f t="shared" ref="AL7:AL17" si="4">IFERROR(MID($B7,FIND(", ",$B7,FIND(", ",$B7,FIND(", ",$B7))+1)+2,30000),"")</f>
        <v/>
      </c>
      <c r="AM7" s="459" t="str">
        <f>IFERROR(INDEX(V!$R:$R,MATCH(AN7,V!$L:$L,0)),"")</f>
        <v/>
      </c>
      <c r="AN7" s="460" t="str">
        <f t="shared" ref="AN7:AN17" si="5">IFERROR(MID($B7,FIND(", ",$B7,FIND(", ",$B7)+1)+2,FIND(", ",$B7,FIND(", ",$B7,FIND(", ",$B7)+1)+1)-FIND(", ",$B7,FIND(", ",$B7)+1)-2),"")</f>
        <v/>
      </c>
      <c r="AO7" s="459" t="str">
        <f>IFERROR(INDEX(V!$R:$R,MATCH(AP7,V!$L:$L,0)),"")</f>
        <v/>
      </c>
      <c r="AP7" s="460" t="str">
        <f t="shared" ref="AP7:AP17" si="6">IFERROR(MID($B7,FIND(", ",$B7,FIND(", ",$B7,FIND(", ",$B7)+1)+1)+2,30000),"")</f>
        <v/>
      </c>
    </row>
    <row r="8" spans="1:42" x14ac:dyDescent="0.2">
      <c r="A8" s="435">
        <v>1</v>
      </c>
      <c r="B8" s="436" t="s">
        <v>251</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314</v>
      </c>
      <c r="AE8" s="459">
        <f>IFERROR(INDEX(V!$R:$R,MATCH(AF8,V!$L:$L,0)),"")</f>
        <v>159</v>
      </c>
      <c r="AF8" s="460" t="str">
        <f t="shared" si="1"/>
        <v>Meelis Luud</v>
      </c>
      <c r="AG8" s="459">
        <f>IFERROR(INDEX(V!$R:$R,MATCH(AH8,V!$L:$L,0)),"")</f>
        <v>155</v>
      </c>
      <c r="AH8" s="460" t="str">
        <f t="shared" si="2"/>
        <v>Sander Rose</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268</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7" si="7">IF(C9&gt;E9,J$3,IF(C9&lt;E9,J$5,IF(ISNUMBER(C9),J$4,0)))+IF(G9&gt;I9,J$3,IF(G9&lt;I9,J$5,IF(ISNUMBER(G9),J$4,0)))+IF(K9&gt;M9,J$3,IF(K9&lt;M9,J$5,IF(ISNUMBER(K9),J$4,0)))+IF(O9&gt;Q9,J$3,IF(O9&lt;Q9,J$5,IF(ISNUMBER(O9),J$4,0)))+IF(S9&gt;U9,J$3,IF(S9&lt;U9,J$5,IF(ISNUMBER(S9),J$4,0)))</f>
        <v>0</v>
      </c>
      <c r="X9" s="442"/>
      <c r="Y9" s="437">
        <f t="shared" ref="Y9:Y17" si="8">C9+G9+K9+O9+S9</f>
        <v>0</v>
      </c>
      <c r="Z9" s="438" t="s">
        <v>246</v>
      </c>
      <c r="AA9" s="443">
        <f t="shared" ref="AA9:AA17" si="9">E9+I9+M9+Q9+U9</f>
        <v>0</v>
      </c>
      <c r="AB9" s="444">
        <f t="shared" ref="AB9:AB17" si="10">Y9-AA9</f>
        <v>0</v>
      </c>
      <c r="AC9" s="445"/>
      <c r="AD9" s="458">
        <f t="shared" si="0"/>
        <v>238</v>
      </c>
      <c r="AE9" s="459">
        <f>IFERROR(INDEX(V!$R:$R,MATCH(AF9,V!$L:$L,0)),"")</f>
        <v>104</v>
      </c>
      <c r="AF9" s="460" t="str">
        <f t="shared" si="1"/>
        <v>Boriss Klubov</v>
      </c>
      <c r="AG9" s="459">
        <f>IFERROR(INDEX(V!$R:$R,MATCH(AH9,V!$L:$L,0)),"")</f>
        <v>134</v>
      </c>
      <c r="AH9" s="460" t="str">
        <f t="shared" si="2"/>
        <v>Elmo Lageda</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258</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271</v>
      </c>
      <c r="AE10" s="459">
        <f>IFERROR(INDEX(V!$R:$R,MATCH(AF10,V!$L:$L,0)),"")</f>
        <v>132</v>
      </c>
      <c r="AF10" s="460" t="str">
        <f t="shared" si="1"/>
        <v>Henri Mitt</v>
      </c>
      <c r="AG10" s="459">
        <f>IFERROR(INDEX(V!$R:$R,MATCH(AH10,V!$L:$L,0)),"")</f>
        <v>139</v>
      </c>
      <c r="AH10" s="460" t="str">
        <f t="shared" si="2"/>
        <v>Urmas Randlaine</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263</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219</v>
      </c>
      <c r="AE11" s="459">
        <f>IFERROR(INDEX(V!$R:$R,MATCH(AF11,V!$L:$L,0)),"")</f>
        <v>80</v>
      </c>
      <c r="AF11" s="460" t="str">
        <f t="shared" si="1"/>
        <v>Johannes Neiland</v>
      </c>
      <c r="AG11" s="459">
        <f>IFERROR(INDEX(V!$R:$R,MATCH(AH11,V!$L:$L,0)),"")</f>
        <v>139</v>
      </c>
      <c r="AH11" s="460" t="str">
        <f t="shared" si="2"/>
        <v>Kaspar Mänd</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492</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217</v>
      </c>
      <c r="AE12" s="459">
        <f>IFERROR(INDEX(V!$R:$R,MATCH(AF12,V!$L:$L,0)),"")</f>
        <v>114</v>
      </c>
      <c r="AF12" s="460" t="str">
        <f t="shared" si="1"/>
        <v>Oliver Ojasalu</v>
      </c>
      <c r="AG12" s="459">
        <f>IFERROR(INDEX(V!$R:$R,MATCH(AH12,V!$L:$L,0)),"")</f>
        <v>103</v>
      </c>
      <c r="AH12" s="460" t="str">
        <f t="shared" si="2"/>
        <v>Tõnis Neiland</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500</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289</v>
      </c>
      <c r="AE13" s="459">
        <f>IFERROR(INDEX(V!$R:$R,MATCH(AF13,V!$L:$L,0)),"")</f>
        <v>129</v>
      </c>
      <c r="AF13" s="460" t="str">
        <f t="shared" si="1"/>
        <v>Jaan Saar</v>
      </c>
      <c r="AG13" s="459">
        <f>IFERROR(INDEX(V!$R:$R,MATCH(AH13,V!$L:$L,0)),"")</f>
        <v>160</v>
      </c>
      <c r="AH13" s="460" t="str">
        <f t="shared" si="2"/>
        <v>Kenneth Muusikus</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501</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214</v>
      </c>
      <c r="AE14" s="459">
        <f>IFERROR(INDEX(V!$R:$R,MATCH(AF14,V!$L:$L,0)),"")</f>
        <v>139</v>
      </c>
      <c r="AF14" s="460" t="str">
        <f t="shared" si="1"/>
        <v>Andres Veski</v>
      </c>
      <c r="AG14" s="459">
        <f>IFERROR(INDEX(V!$R:$R,MATCH(AH14,V!$L:$L,0)),"")</f>
        <v>75</v>
      </c>
      <c r="AH14" s="460" t="str">
        <f t="shared" si="2"/>
        <v>Enn Tokman</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499</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140</v>
      </c>
      <c r="AE15" s="459">
        <f>IFERROR(INDEX(V!$R:$R,MATCH(AF15,V!$L:$L,0)),"")</f>
        <v>98</v>
      </c>
      <c r="AF15" s="460" t="str">
        <f t="shared" si="1"/>
        <v>Andrei Grintšak</v>
      </c>
      <c r="AG15" s="459">
        <f>IFERROR(INDEX(V!$R:$R,MATCH(AH15,V!$L:$L,0)),"")</f>
        <v>42</v>
      </c>
      <c r="AH15" s="460" t="str">
        <f t="shared" si="2"/>
        <v>Daniil Alekankin</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489</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186</v>
      </c>
      <c r="AE16" s="459">
        <f>IFERROR(INDEX(V!$R:$R,MATCH(AF16,V!$L:$L,0)),"")</f>
        <v>94</v>
      </c>
      <c r="AF16" s="460" t="str">
        <f t="shared" si="1"/>
        <v>Lemmit Toomra</v>
      </c>
      <c r="AG16" s="459">
        <f>IFERROR(INDEX(V!$R:$R,MATCH(AH16,V!$L:$L,0)),"")</f>
        <v>92</v>
      </c>
      <c r="AH16" s="460" t="str">
        <f t="shared" si="2"/>
        <v>Tõnu Kapper</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502</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68</v>
      </c>
      <c r="AE17" s="459">
        <f>IFERROR(INDEX(V!$R:$R,MATCH(AF17,V!$L:$L,0)),"")</f>
        <v>52</v>
      </c>
      <c r="AF17" s="460" t="str">
        <f t="shared" si="1"/>
        <v>Illar Tõnurist</v>
      </c>
      <c r="AG17" s="459">
        <f>IFERROR(INDEX(V!$R:$R,MATCH(AH17,V!$L:$L,0)),"")</f>
        <v>16</v>
      </c>
      <c r="AH17" s="460" t="str">
        <f t="shared" si="2"/>
        <v>Jüri Mitt</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9" spans="1:42" hidden="1" x14ac:dyDescent="0.2"/>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row>
    <row r="33" spans="1:2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row>
    <row r="34" spans="1:2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row>
    <row r="35" spans="1:2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row>
    <row r="36" spans="1:2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row>
    <row r="37" spans="1:2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row>
    <row r="38" spans="1:2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row>
    <row r="39" spans="1:2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row>
    <row r="40" spans="1:2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row>
    <row r="41" spans="1:2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row>
    <row r="42" spans="1:2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row>
    <row r="43" spans="1:2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row>
    <row r="44" spans="1:2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row>
    <row r="45" spans="1:2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row>
    <row r="46" spans="1:2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row>
    <row r="47" spans="1:2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row>
    <row r="48" spans="1:2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row>
    <row r="49" spans="1:2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row>
    <row r="50" spans="1:2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row>
    <row r="51" spans="1:2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row>
    <row r="52" spans="1:2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1:2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row>
    <row r="54" spans="1:2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row>
    <row r="55" spans="1:2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row>
    <row r="56" spans="1:2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row>
    <row r="57" spans="1:2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row>
    <row r="58" spans="1:2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row>
    <row r="59" spans="1:2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row>
    <row r="60" spans="1:2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row>
    <row r="61" spans="1:2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row>
    <row r="62" spans="1:2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row>
    <row r="63" spans="1:2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row>
    <row r="64" spans="1:2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row>
    <row r="65" spans="1:2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row>
    <row r="66" spans="1:2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row>
    <row r="67" spans="1:2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row>
    <row r="68" spans="1:2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row>
    <row r="69" spans="1:2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row>
    <row r="76" spans="1:2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row>
    <row r="77" spans="1:2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row>
    <row r="78" spans="1:2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row>
    <row r="79" spans="1:2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row>
    <row r="80" spans="1:2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row>
    <row r="81" spans="1:2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row>
    <row r="82" spans="1:2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row>
    <row r="83" spans="1:2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row>
    <row r="84" spans="1:2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row>
    <row r="85" spans="1:2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row>
    <row r="86" spans="1:2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row>
    <row r="88" spans="1:2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row>
    <row r="89" spans="1:2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row>
    <row r="90" spans="1:2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row>
    <row r="91" spans="1:2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row>
    <row r="92" spans="1:2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row>
    <row r="93" spans="1:2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row>
    <row r="94" spans="1:2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row>
    <row r="95" spans="1:2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row>
    <row r="96" spans="1:2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row>
    <row r="97" spans="1:2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row>
    <row r="98" spans="1:2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row>
    <row r="99" spans="1:2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row>
    <row r="100" spans="1:2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row>
    <row r="101" spans="1:2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row>
    <row r="102" spans="1:2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row>
    <row r="103" spans="1:2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row>
    <row r="104" spans="1:2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row>
    <row r="105" spans="1:2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row>
    <row r="106" spans="1:2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row>
    <row r="107" spans="1:2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row>
    <row r="108" spans="1:2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row>
    <row r="109" spans="1:2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row>
    <row r="110" spans="1:2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row>
    <row r="111" spans="1:2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row>
    <row r="112" spans="1:2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row>
    <row r="113" spans="1:2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row>
    <row r="114" spans="1:2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row>
    <row r="115" spans="1:2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row>
    <row r="116" spans="1:2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row>
    <row r="117" spans="1:2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row>
    <row r="118" spans="1:2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row>
    <row r="119" spans="1:2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row>
    <row r="120" spans="1:2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row>
    <row r="122" spans="1:2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row>
    <row r="123" spans="1:2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row>
    <row r="124" spans="1:2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row>
    <row r="125" spans="1:2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row>
    <row r="126" spans="1:2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row>
    <row r="127" spans="1:2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row>
    <row r="128" spans="1:2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row>
    <row r="129" spans="1:2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row>
    <row r="130" spans="1:2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row>
    <row r="131" spans="1:2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row>
    <row r="132" spans="1:2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row>
    <row r="133" spans="1:2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row>
    <row r="134" spans="1:2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row>
    <row r="136" spans="1:2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row>
    <row r="137" spans="1:2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row>
    <row r="138" spans="1:2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row>
    <row r="139" spans="1:2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row>
    <row r="140" spans="1:2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row>
    <row r="141" spans="1:2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row>
    <row r="142" spans="1:2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row>
    <row r="143" spans="1:2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row>
    <row r="144" spans="1:2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row>
    <row r="145" spans="1:2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row>
    <row r="146" spans="1:2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row>
    <row r="147" spans="1:2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row>
    <row r="148" spans="1:2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row>
    <row r="149" spans="1:2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row>
    <row r="150" spans="1:2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row>
    <row r="151" spans="1:2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row>
    <row r="152" spans="1:2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row>
    <row r="153" spans="1:2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row>
    <row r="154" spans="1:2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row>
    <row r="155" spans="1:2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row>
    <row r="156" spans="1:2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row>
    <row r="157" spans="1:2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row>
    <row r="158" spans="1:2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row>
    <row r="165" spans="1:2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row>
    <row r="166" spans="1:2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row>
    <row r="167" spans="1:2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row>
    <row r="168" spans="1:2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row>
    <row r="169" spans="1:2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row>
    <row r="170" spans="1:2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row>
    <row r="171" spans="1:2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row>
    <row r="172" spans="1:2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row>
    <row r="173" spans="1:2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row>
    <row r="174" spans="1:2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row>
    <row r="175" spans="1:2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row>
    <row r="176" spans="1:2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row>
    <row r="177" spans="1:2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row>
    <row r="178" spans="1:2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row>
    <row r="179" spans="1:2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row>
    <row r="180" spans="1:2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row>
    <row r="181" spans="1:2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row>
    <row r="182" spans="1:2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row>
    <row r="183" spans="1:2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row>
    <row r="184" spans="1:2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row>
    <row r="185" spans="1:2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row>
    <row r="186" spans="1:2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row>
    <row r="187" spans="1:2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row>
    <row r="188" spans="1:2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row>
    <row r="189" spans="1:2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row>
    <row r="190" spans="1:2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row>
    <row r="191" spans="1:2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row>
    <row r="192" spans="1:2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row>
    <row r="193" spans="1:2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row>
    <row r="194" spans="1:2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row>
    <row r="195" spans="1:2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row>
    <row r="196" spans="1:2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row>
    <row r="197" spans="1:2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row>
    <row r="198" spans="1:2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row>
    <row r="199" spans="1:2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row>
    <row r="200" spans="1:2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row>
    <row r="201" spans="1:2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row>
    <row r="202" spans="1:2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row>
    <row r="203" spans="1:2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row>
    <row r="204" spans="1:2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row>
    <row r="205" spans="1:2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row>
    <row r="206" spans="1:2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row>
    <row r="207" spans="1:2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row>
    <row r="208" spans="1:2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row>
    <row r="209" spans="1:2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row>
    <row r="210" spans="1:2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row>
    <row r="211" spans="1:2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row>
    <row r="212" spans="1:2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row>
    <row r="213" spans="1:2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row>
    <row r="214" spans="1:2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row>
    <row r="215" spans="1:2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row>
    <row r="216" spans="1:2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row>
    <row r="217" spans="1:2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row>
    <row r="218" spans="1:2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row>
    <row r="219" spans="1:2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row>
    <row r="220" spans="1:2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row>
    <row r="221" spans="1:2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row>
    <row r="222" spans="1:2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row>
    <row r="223" spans="1:2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row>
    <row r="224" spans="1:2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row>
    <row r="225" spans="1:2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row>
    <row r="226" spans="1:2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row>
    <row r="227" spans="1:2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row>
    <row r="228" spans="1:2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row>
    <row r="229" spans="1:2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row>
    <row r="230" spans="1:2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row>
    <row r="231" spans="1:2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row>
    <row r="232" spans="1:2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row>
    <row r="233" spans="1:2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row>
    <row r="234" spans="1:2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row>
    <row r="235" spans="1:2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row>
    <row r="236" spans="1:2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row>
    <row r="237" spans="1:2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row>
    <row r="238" spans="1:2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row>
    <row r="239" spans="1:2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row>
    <row r="240" spans="1:2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row>
    <row r="241" spans="1:2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row>
    <row r="242" spans="1:2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row>
    <row r="243" spans="1:2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row>
    <row r="244" spans="1:2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row>
    <row r="245" spans="1:2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row>
    <row r="246" spans="1:2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row>
    <row r="247" spans="1:2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row>
    <row r="248" spans="1:2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row>
    <row r="249" spans="1:2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row>
    <row r="250" spans="1:2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row>
    <row r="251" spans="1:2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row>
    <row r="252" spans="1:2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row>
    <row r="253" spans="1:2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row>
    <row r="254" spans="1:2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row>
    <row r="255" spans="1:2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row>
    <row r="256" spans="1:2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row>
    <row r="257" spans="1:2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row>
    <row r="258" spans="1:2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row>
    <row r="259" spans="1:2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row>
    <row r="260" spans="1:2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row>
    <row r="261" spans="1:2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row>
    <row r="262" spans="1:2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row>
    <row r="263" spans="1:2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row>
    <row r="264" spans="1:2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row>
    <row r="265" spans="1:2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row>
    <row r="266" spans="1:2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row>
    <row r="267" spans="1:2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row>
    <row r="268" spans="1:2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row>
    <row r="269" spans="1:2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row>
    <row r="270" spans="1:2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row>
    <row r="271" spans="1:2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row>
    <row r="272" spans="1:2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row>
    <row r="273" spans="1:2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row>
    <row r="274" spans="1:2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row>
    <row r="275" spans="1:2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row>
    <row r="276" spans="1:2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row>
    <row r="277" spans="1:2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row>
    <row r="278" spans="1:2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row>
    <row r="279" spans="1:2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row>
    <row r="280" spans="1:2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row>
    <row r="281" spans="1:2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row>
    <row r="282" spans="1:2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row>
    <row r="283" spans="1:2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row>
    <row r="284" spans="1:2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row>
    <row r="285" spans="1:2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row>
    <row r="286" spans="1:2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row>
    <row r="287" spans="1:29" hidden="1" x14ac:dyDescent="0.2">
      <c r="D287" s="448"/>
      <c r="E287" s="448"/>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row>
    <row r="288" spans="1:29" hidden="1" x14ac:dyDescent="0.2">
      <c r="D288" s="452"/>
      <c r="E288" s="452"/>
      <c r="F288" s="403"/>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53"/>
      <c r="X289" s="403"/>
      <c r="Y289" s="403"/>
      <c r="Z289" s="403"/>
      <c r="AA289" s="403"/>
      <c r="AB289" s="403"/>
      <c r="AC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53"/>
      <c r="X294" s="403"/>
      <c r="Y294" s="403"/>
      <c r="Z294" s="403"/>
      <c r="AA294" s="403"/>
      <c r="AB294" s="403"/>
      <c r="AC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row>
    <row r="297" spans="1:39" hidden="1"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row>
    <row r="298" spans="1:39" x14ac:dyDescent="0.2">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row>
    <row r="299" spans="1:39" x14ac:dyDescent="0.2">
      <c r="A299" s="403"/>
      <c r="B299" s="403"/>
      <c r="C299" s="447" t="s">
        <v>69</v>
      </c>
      <c r="D299" s="403"/>
      <c r="E299" s="403"/>
      <c r="F299" s="986"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t="str">
        <f t="shared" ref="B300:B309" si="11">IFERROR(INDEX(B$1:B$88,MATCH(A300,A$1:A$88,0)),"")</f>
        <v>Meelis Luud, Sander Rose</v>
      </c>
      <c r="C300" s="451">
        <f t="shared" ref="C300:C309" si="12">IF(21-A300&gt;0,IF(OR(A300=A301,A299=A300),21-A300-0.5,21-A300),1)</f>
        <v>20</v>
      </c>
      <c r="F300" s="985">
        <v>4</v>
      </c>
    </row>
    <row r="301" spans="1:39" x14ac:dyDescent="0.2">
      <c r="A301" s="449">
        <v>2</v>
      </c>
      <c r="B301" s="450" t="str">
        <f t="shared" si="11"/>
        <v>Boriss Klubov, Elmo Lageda</v>
      </c>
      <c r="C301" s="451">
        <f t="shared" si="12"/>
        <v>19</v>
      </c>
      <c r="F301" s="985">
        <v>4</v>
      </c>
    </row>
    <row r="302" spans="1:39" x14ac:dyDescent="0.2">
      <c r="A302" s="449">
        <v>3</v>
      </c>
      <c r="B302" s="450" t="str">
        <f t="shared" si="11"/>
        <v>Henri Mitt, Urmas Randlaine</v>
      </c>
      <c r="C302" s="451">
        <f t="shared" si="12"/>
        <v>18</v>
      </c>
      <c r="F302" s="985">
        <v>3</v>
      </c>
    </row>
    <row r="303" spans="1:39" x14ac:dyDescent="0.2">
      <c r="A303" s="449">
        <v>4</v>
      </c>
      <c r="B303" s="450" t="str">
        <f t="shared" si="11"/>
        <v>Johannes Neiland, Kaspar Mänd</v>
      </c>
      <c r="C303" s="451">
        <f t="shared" si="12"/>
        <v>17</v>
      </c>
      <c r="F303" s="985">
        <v>3</v>
      </c>
    </row>
    <row r="304" spans="1:39" x14ac:dyDescent="0.2">
      <c r="A304" s="449">
        <v>5</v>
      </c>
      <c r="B304" s="450" t="str">
        <f t="shared" si="11"/>
        <v>Oliver Ojasalu, Tõnis Neiland</v>
      </c>
      <c r="C304" s="451">
        <f t="shared" si="12"/>
        <v>16</v>
      </c>
      <c r="F304" s="985">
        <v>3</v>
      </c>
    </row>
    <row r="305" spans="1:6" x14ac:dyDescent="0.2">
      <c r="A305" s="449">
        <v>6</v>
      </c>
      <c r="B305" s="450" t="str">
        <f t="shared" si="11"/>
        <v>Jaan Saar, Kenneth Muusikus</v>
      </c>
      <c r="C305" s="451">
        <f t="shared" si="12"/>
        <v>15</v>
      </c>
      <c r="F305" s="985">
        <v>2</v>
      </c>
    </row>
    <row r="306" spans="1:6" x14ac:dyDescent="0.2">
      <c r="A306" s="449">
        <v>7</v>
      </c>
      <c r="B306" s="450" t="str">
        <f t="shared" si="11"/>
        <v>Andres Veski, Enn Tokman</v>
      </c>
      <c r="C306" s="451">
        <f t="shared" si="12"/>
        <v>14</v>
      </c>
      <c r="F306" s="985">
        <v>2</v>
      </c>
    </row>
    <row r="307" spans="1:6" x14ac:dyDescent="0.2">
      <c r="A307" s="449">
        <v>8</v>
      </c>
      <c r="B307" s="450" t="str">
        <f t="shared" si="11"/>
        <v>Andrei Grintšak, Daniil Alekankin</v>
      </c>
      <c r="C307" s="451">
        <f t="shared" si="12"/>
        <v>13</v>
      </c>
      <c r="F307" s="985">
        <v>2</v>
      </c>
    </row>
    <row r="308" spans="1:6" x14ac:dyDescent="0.2">
      <c r="A308" s="449">
        <v>9</v>
      </c>
      <c r="B308" s="450" t="str">
        <f t="shared" si="11"/>
        <v>Lemmit Toomra, Tõnu Kapper</v>
      </c>
      <c r="C308" s="451">
        <f t="shared" si="12"/>
        <v>12</v>
      </c>
      <c r="F308" s="985">
        <v>2</v>
      </c>
    </row>
    <row r="309" spans="1:6" x14ac:dyDescent="0.2">
      <c r="A309" s="449">
        <v>10</v>
      </c>
      <c r="B309" s="450" t="str">
        <f t="shared" si="11"/>
        <v>Illar Tõnurist, Jüri Mitt</v>
      </c>
      <c r="C309" s="451">
        <f t="shared" si="12"/>
        <v>11</v>
      </c>
      <c r="F309" s="985">
        <v>0</v>
      </c>
    </row>
  </sheetData>
  <conditionalFormatting sqref="C8:C17">
    <cfRule type="expression" dxfId="1175" priority="40">
      <formula>IF($C8&gt;$E8,TRUE)</formula>
    </cfRule>
  </conditionalFormatting>
  <conditionalFormatting sqref="E8:E17">
    <cfRule type="expression" dxfId="1174" priority="41">
      <formula>IF($C8&lt;$E8,TRUE)</formula>
    </cfRule>
  </conditionalFormatting>
  <conditionalFormatting sqref="K8:K17">
    <cfRule type="expression" dxfId="1173" priority="48">
      <formula>IF($K8&gt;$M8,TRUE)</formula>
    </cfRule>
  </conditionalFormatting>
  <conditionalFormatting sqref="M8:M17">
    <cfRule type="expression" dxfId="1172" priority="49">
      <formula>IF($K8&lt;$M8,TRUE)</formula>
    </cfRule>
  </conditionalFormatting>
  <conditionalFormatting sqref="O8:O17">
    <cfRule type="expression" dxfId="1171" priority="52">
      <formula>IF($O8&gt;$Q8,TRUE)</formula>
    </cfRule>
  </conditionalFormatting>
  <conditionalFormatting sqref="Q8:Q17">
    <cfRule type="expression" dxfId="1170" priority="53">
      <formula>IF($O8&lt;$Q8,TRUE)</formula>
    </cfRule>
  </conditionalFormatting>
  <conditionalFormatting sqref="S8:S17">
    <cfRule type="expression" dxfId="1169" priority="56">
      <formula>IF($S8&gt;$U8,TRUE)</formula>
    </cfRule>
  </conditionalFormatting>
  <conditionalFormatting sqref="U8:U17">
    <cfRule type="expression" dxfId="1168" priority="57">
      <formula>IF($S8&lt;$U8,TRUE)</formula>
    </cfRule>
  </conditionalFormatting>
  <conditionalFormatting sqref="G8:G17">
    <cfRule type="expression" dxfId="1167" priority="44">
      <formula>IF($G8&gt;$I8,TRUE)</formula>
    </cfRule>
  </conditionalFormatting>
  <conditionalFormatting sqref="I8:I17">
    <cfRule type="expression" dxfId="1166" priority="45">
      <formula>IF($G8&lt;$I8,TRUE)</formula>
    </cfRule>
  </conditionalFormatting>
  <conditionalFormatting sqref="F8:F17">
    <cfRule type="containsText" dxfId="1165" priority="31" operator="containsText" text="vaba voor">
      <formula>NOT(ISERROR(SEARCH("vaba voor",F8)))</formula>
    </cfRule>
  </conditionalFormatting>
  <conditionalFormatting sqref="N8:N17">
    <cfRule type="containsText" dxfId="1164" priority="29" operator="containsText" text="vaba voor">
      <formula>NOT(ISERROR(SEARCH("vaba voor",N8)))</formula>
    </cfRule>
  </conditionalFormatting>
  <conditionalFormatting sqref="R8:R17">
    <cfRule type="containsText" dxfId="1163" priority="32" operator="containsText" text="vaba voor">
      <formula>NOT(ISERROR(SEARCH("vaba voor",R8)))</formula>
    </cfRule>
  </conditionalFormatting>
  <conditionalFormatting sqref="V8:V17">
    <cfRule type="containsText" dxfId="1162" priority="28" operator="containsText" text="vaba voor">
      <formula>NOT(ISERROR(SEARCH("vaba voor",V8)))</formula>
    </cfRule>
  </conditionalFormatting>
  <conditionalFormatting sqref="J8:J17">
    <cfRule type="containsText" dxfId="1161" priority="30" operator="containsText" text="vaba voor">
      <formula>NOT(ISERROR(SEARCH("vaba voor",J8)))</formula>
    </cfRule>
  </conditionalFormatting>
  <conditionalFormatting sqref="C8:F17">
    <cfRule type="expression" dxfId="1160" priority="36">
      <formula>IF(AND(ISNUMBER($C8),$C8=$E8),TRUE)</formula>
    </cfRule>
    <cfRule type="expression" dxfId="1159" priority="38">
      <formula>IF($C8&gt;$E8,TRUE)</formula>
    </cfRule>
    <cfRule type="expression" dxfId="1158" priority="39">
      <formula>IF($C8&lt;$E8,TRUE)</formula>
    </cfRule>
  </conditionalFormatting>
  <conditionalFormatting sqref="G8:J17">
    <cfRule type="expression" dxfId="1157" priority="37">
      <formula>IF(AND(ISNUMBER($G8),$G8=$I8),TRUE)</formula>
    </cfRule>
    <cfRule type="expression" dxfId="1156" priority="42">
      <formula>IF($G8&gt;$I8,TRUE)</formula>
    </cfRule>
    <cfRule type="expression" dxfId="1155" priority="43">
      <formula>IF($G8&lt;$I8,TRUE)</formula>
    </cfRule>
  </conditionalFormatting>
  <conditionalFormatting sqref="K8:N17">
    <cfRule type="expression" dxfId="1154" priority="35">
      <formula>IF(AND(ISNUMBER($K8),$K8=$M8),TRUE)</formula>
    </cfRule>
    <cfRule type="expression" dxfId="1153" priority="46">
      <formula>IF($K8&gt;$M8,TRUE)</formula>
    </cfRule>
    <cfRule type="expression" dxfId="1152" priority="47">
      <formula>IF($K8&lt;$M8,TRUE)</formula>
    </cfRule>
  </conditionalFormatting>
  <conditionalFormatting sqref="O8:R17">
    <cfRule type="expression" dxfId="1151" priority="34">
      <formula>IF(AND(ISNUMBER($O8),$O8=$Q8),TRUE)</formula>
    </cfRule>
    <cfRule type="expression" dxfId="1150" priority="50">
      <formula>IF($O8&gt;$Q8,TRUE)</formula>
    </cfRule>
    <cfRule type="expression" dxfId="1149" priority="51">
      <formula>IF($O8&lt;$Q8,TRUE)</formula>
    </cfRule>
  </conditionalFormatting>
  <conditionalFormatting sqref="S8:V17">
    <cfRule type="expression" dxfId="1148" priority="33">
      <formula>IF(AND(ISNUMBER($S8),$S8=$U8),TRUE)</formula>
    </cfRule>
    <cfRule type="expression" dxfId="1147" priority="54">
      <formula>IF($S8&gt;$U8,TRUE)</formula>
    </cfRule>
    <cfRule type="expression" dxfId="1146" priority="55">
      <formula>IF($S8&lt;$U8,TRUE)</formula>
    </cfRule>
  </conditionalFormatting>
  <conditionalFormatting sqref="C8:C17 G8:G17 K8:K17 O8:O17 S8:S17">
    <cfRule type="expression" dxfId="1145" priority="26">
      <formula>AND(C8=0,E8=13)</formula>
    </cfRule>
  </conditionalFormatting>
  <conditionalFormatting sqref="E8:E17 I8:I17 M8:M17 Q8:Q17 U8:U17">
    <cfRule type="expression" dxfId="1144" priority="27">
      <formula>AND(E8=0,C8=13)</formula>
    </cfRule>
  </conditionalFormatting>
  <conditionalFormatting sqref="A300:A309">
    <cfRule type="duplicateValues" dxfId="1143" priority="104"/>
  </conditionalFormatting>
  <conditionalFormatting sqref="A8:A17">
    <cfRule type="duplicateValues" dxfId="1142" priority="152"/>
  </conditionalFormatting>
  <conditionalFormatting sqref="B300:B309">
    <cfRule type="expression" dxfId="1141" priority="186">
      <formula>A300=3</formula>
    </cfRule>
    <cfRule type="expression" dxfId="1140" priority="187">
      <formula>A300=2</formula>
    </cfRule>
    <cfRule type="expression" dxfId="1139" priority="188">
      <formula>A300=1</formula>
    </cfRule>
    <cfRule type="containsBlanks" dxfId="1138" priority="189">
      <formula>LEN(TRIM(B300))=0</formula>
    </cfRule>
    <cfRule type="duplicateValues" dxfId="1137" priority="190"/>
  </conditionalFormatting>
  <conditionalFormatting sqref="AJ6:AJ17">
    <cfRule type="expression" dxfId="1136" priority="5">
      <formula>AND(AI6="",FIND(",",AJ6))</formula>
    </cfRule>
    <cfRule type="expression" dxfId="1135" priority="7">
      <formula>AND(AI6="",COUNTIF(AJ6,"*,*")=0)</formula>
    </cfRule>
  </conditionalFormatting>
  <conditionalFormatting sqref="AH6:AH17">
    <cfRule type="expression" dxfId="1134" priority="8">
      <formula>AND(AG6="",FIND(",",AH6))</formula>
    </cfRule>
    <cfRule type="expression" dxfId="1133" priority="9">
      <formula>AND(AG6="",COUNTIF(AH6,"*,*")=0)</formula>
    </cfRule>
  </conditionalFormatting>
  <conditionalFormatting sqref="AL6:AL17">
    <cfRule type="expression" dxfId="1132" priority="10">
      <formula>AND(AK6="",FIND(",",AL6))</formula>
    </cfRule>
    <cfRule type="expression" dxfId="1131" priority="11">
      <formula>AND(AK6="",COUNTIF(AL6,"*,*")=0)</formula>
    </cfRule>
  </conditionalFormatting>
  <conditionalFormatting sqref="AF6:AF17">
    <cfRule type="expression" dxfId="1130" priority="6">
      <formula>AND(AE6="",COUNTIF(AF6,"*,*")=0)</formula>
    </cfRule>
  </conditionalFormatting>
  <conditionalFormatting sqref="AN6:AN17">
    <cfRule type="expression" dxfId="1129" priority="2">
      <formula>AND(AM6="",COUNTIF(AN6,"*,*")=0)</formula>
    </cfRule>
    <cfRule type="expression" dxfId="1128" priority="4">
      <formula>AND(AM6="",FIND(",",AN6))</formula>
    </cfRule>
  </conditionalFormatting>
  <conditionalFormatting sqref="AP6:AP17">
    <cfRule type="expression" dxfId="1127" priority="1">
      <formula>AND(AO6="",COUNTIF(AP6,"*,*")=0)</formula>
    </cfRule>
    <cfRule type="expression" dxfId="112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15"/>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28.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15.285156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UPPER((Kalend!E23)&amp;" - "&amp;(Kalend!C23)&amp;" - "&amp;(Kalend!D23))</f>
        <v>V5 - VOKA VIII KV 5. ETAPP - DUO</v>
      </c>
      <c r="B1" s="403"/>
      <c r="C1" s="404"/>
      <c r="D1" s="403"/>
      <c r="E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"&amp;(Kalend!A23)&amp;" kell "&amp;(Kalend!B23)</f>
        <v>Toimumisaeg: K, 30.06.2021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"&amp;(Kalend!F23)</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"&amp;(Kalend!G23)</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SUM(AE7:AP7)</f>
        <v>0</v>
      </c>
      <c r="AE7" s="459" t="str">
        <f>IFERROR(INDEX(V!$R:$R,MATCH(AF7,V!$L:$L,0)),"")</f>
        <v/>
      </c>
      <c r="AF7" s="460" t="str">
        <f t="shared" ref="AF7:AF17" si="1">IFERROR(LEFT($B7,(FIND(",",$B7,1)-1)),"")</f>
        <v/>
      </c>
      <c r="AG7" s="459" t="str">
        <f>IFERROR(INDEX(V!$R:$R,MATCH(AH7,V!$L:$L,0)),"")</f>
        <v/>
      </c>
      <c r="AH7" s="460" t="str">
        <f t="shared" ref="AH7:AH17" si="2">IFERROR(MID($B7,FIND(", ",$B7)+2,256),"")</f>
        <v/>
      </c>
      <c r="AI7" s="459" t="str">
        <f>IFERROR(INDEX(V!$R:$R,MATCH(AJ7,V!$L:$L,0)),"")</f>
        <v/>
      </c>
      <c r="AJ7" s="460" t="str">
        <f t="shared" ref="AJ7:AJ17" si="3">IFERROR(MID($B7,FIND("^",SUBSTITUTE($B7,", ","^",1))+2,FIND("^",SUBSTITUTE($B7,", ","^",2))-FIND("^",SUBSTITUTE($B7,", ","^",1))-2),"")</f>
        <v/>
      </c>
      <c r="AK7" s="459" t="str">
        <f>IFERROR(INDEX(V!$R:$R,MATCH(AL7,V!$L:$L,0)),"")</f>
        <v/>
      </c>
      <c r="AL7" s="460" t="str">
        <f t="shared" ref="AL7:AL17" si="4">IFERROR(MID($B7,FIND(", ",$B7,FIND(", ",$B7,FIND(", ",$B7))+1)+2,30000),"")</f>
        <v/>
      </c>
      <c r="AM7" s="459" t="str">
        <f>IFERROR(INDEX(V!$R:$R,MATCH(AN7,V!$L:$L,0)),"")</f>
        <v/>
      </c>
      <c r="AN7" s="460" t="str">
        <f t="shared" ref="AN7:AN17" si="5">IFERROR(MID($B7,FIND(", ",$B7,FIND(", ",$B7)+1)+2,FIND(", ",$B7,FIND(", ",$B7,FIND(", ",$B7)+1)+1)-FIND(", ",$B7,FIND(", ",$B7)+1)-2),"")</f>
        <v/>
      </c>
      <c r="AO7" s="459" t="str">
        <f>IFERROR(INDEX(V!$R:$R,MATCH(AP7,V!$L:$L,0)),"")</f>
        <v/>
      </c>
      <c r="AP7" s="460" t="str">
        <f t="shared" ref="AP7:AP17" si="6">IFERROR(MID($B7,FIND(", ",$B7,FIND(", ",$B7,FIND(", ",$B7)+1)+1)+2,30000),"")</f>
        <v/>
      </c>
    </row>
    <row r="8" spans="1:42" x14ac:dyDescent="0.2">
      <c r="A8" s="435">
        <v>1</v>
      </c>
      <c r="B8" s="436" t="s">
        <v>503</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170</v>
      </c>
      <c r="AE8" s="459">
        <f>IFERROR(INDEX(V!$R:$R,MATCH(AF8,V!$L:$L,0)),"")</f>
        <v>103</v>
      </c>
      <c r="AF8" s="460" t="str">
        <f t="shared" si="1"/>
        <v>Olav Türk</v>
      </c>
      <c r="AG8" s="459">
        <f>IFERROR(INDEX(V!$R:$R,MATCH(AH8,V!$L:$L,0)),"")</f>
        <v>67</v>
      </c>
      <c r="AH8" s="460" t="str">
        <f t="shared" si="2"/>
        <v>Urmas Jõeäär</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251</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7" si="7">IF(C9&gt;E9,J$3,IF(C9&lt;E9,J$5,IF(ISNUMBER(C9),J$4,0)))+IF(G9&gt;I9,J$3,IF(G9&lt;I9,J$5,IF(ISNUMBER(G9),J$4,0)))+IF(K9&gt;M9,J$3,IF(K9&lt;M9,J$5,IF(ISNUMBER(K9),J$4,0)))+IF(O9&gt;Q9,J$3,IF(O9&lt;Q9,J$5,IF(ISNUMBER(O9),J$4,0)))+IF(S9&gt;U9,J$3,IF(S9&lt;U9,J$5,IF(ISNUMBER(S9),J$4,0)))</f>
        <v>0</v>
      </c>
      <c r="X9" s="442"/>
      <c r="Y9" s="437">
        <f t="shared" ref="Y9:Y17" si="8">C9+G9+K9+O9+S9</f>
        <v>0</v>
      </c>
      <c r="Z9" s="438" t="s">
        <v>246</v>
      </c>
      <c r="AA9" s="443">
        <f t="shared" ref="AA9:AA17" si="9">E9+I9+M9+Q9+U9</f>
        <v>0</v>
      </c>
      <c r="AB9" s="444">
        <f t="shared" ref="AB9:AB17" si="10">Y9-AA9</f>
        <v>0</v>
      </c>
      <c r="AC9" s="445"/>
      <c r="AD9" s="458">
        <f t="shared" si="0"/>
        <v>314</v>
      </c>
      <c r="AE9" s="459">
        <f>IFERROR(INDEX(V!$R:$R,MATCH(AF9,V!$L:$L,0)),"")</f>
        <v>159</v>
      </c>
      <c r="AF9" s="460" t="str">
        <f t="shared" si="1"/>
        <v>Meelis Luud</v>
      </c>
      <c r="AG9" s="459">
        <f>IFERROR(INDEX(V!$R:$R,MATCH(AH9,V!$L:$L,0)),"")</f>
        <v>155</v>
      </c>
      <c r="AH9" s="460" t="str">
        <f t="shared" si="2"/>
        <v>Sander Rose</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268</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238</v>
      </c>
      <c r="AE10" s="459">
        <f>IFERROR(INDEX(V!$R:$R,MATCH(AF10,V!$L:$L,0)),"")</f>
        <v>104</v>
      </c>
      <c r="AF10" s="460" t="str">
        <f t="shared" si="1"/>
        <v>Boriss Klubov</v>
      </c>
      <c r="AG10" s="459">
        <f>IFERROR(INDEX(V!$R:$R,MATCH(AH10,V!$L:$L,0)),"")</f>
        <v>134</v>
      </c>
      <c r="AH10" s="460" t="str">
        <f t="shared" si="2"/>
        <v>Elmo Lageda</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492</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217</v>
      </c>
      <c r="AE11" s="459">
        <f>IFERROR(INDEX(V!$R:$R,MATCH(AF11,V!$L:$L,0)),"")</f>
        <v>114</v>
      </c>
      <c r="AF11" s="460" t="str">
        <f t="shared" si="1"/>
        <v>Oliver Ojasalu</v>
      </c>
      <c r="AG11" s="459">
        <f>IFERROR(INDEX(V!$R:$R,MATCH(AH11,V!$L:$L,0)),"")</f>
        <v>103</v>
      </c>
      <c r="AH11" s="460" t="str">
        <f t="shared" si="2"/>
        <v>Tõnis Neiland</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255</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259</v>
      </c>
      <c r="AE12" s="459">
        <f>IFERROR(INDEX(V!$R:$R,MATCH(AF12,V!$L:$L,0)),"")</f>
        <v>139</v>
      </c>
      <c r="AF12" s="460" t="str">
        <f t="shared" si="1"/>
        <v>Andres Veski</v>
      </c>
      <c r="AG12" s="459">
        <f>IFERROR(INDEX(V!$R:$R,MATCH(AH12,V!$L:$L,0)),"")</f>
        <v>120</v>
      </c>
      <c r="AH12" s="460" t="str">
        <f t="shared" si="2"/>
        <v>Svetlana Veski</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504</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256</v>
      </c>
      <c r="AE13" s="459">
        <f>IFERROR(INDEX(V!$R:$R,MATCH(AF13,V!$L:$L,0)),"")</f>
        <v>139</v>
      </c>
      <c r="AF13" s="460" t="str">
        <f t="shared" si="1"/>
        <v>Kaspar Mänd</v>
      </c>
      <c r="AG13" s="459">
        <f>IFERROR(INDEX(V!$R:$R,MATCH(AH13,V!$L:$L,0)),"")</f>
        <v>117</v>
      </c>
      <c r="AH13" s="460" t="str">
        <f t="shared" si="2"/>
        <v>Oleg Rõndenkov</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476</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231</v>
      </c>
      <c r="AE14" s="459">
        <f>IFERROR(INDEX(V!$R:$R,MATCH(AF14,V!$L:$L,0)),"")</f>
        <v>160</v>
      </c>
      <c r="AF14" s="460" t="str">
        <f t="shared" si="1"/>
        <v>Kenneth Muusikus</v>
      </c>
      <c r="AG14" s="459">
        <f>IFERROR(INDEX(V!$R:$R,MATCH(AH14,V!$L:$L,0)),"")</f>
        <v>71</v>
      </c>
      <c r="AH14" s="460" t="str">
        <f t="shared" si="2"/>
        <v>Marta Bernat</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505</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227</v>
      </c>
      <c r="AE15" s="459">
        <f>IFERROR(INDEX(V!$R:$R,MATCH(AF15,V!$L:$L,0)),"")</f>
        <v>98</v>
      </c>
      <c r="AF15" s="460" t="str">
        <f t="shared" si="1"/>
        <v>Andrei Grintšak</v>
      </c>
      <c r="AG15" s="459">
        <f>IFERROR(INDEX(V!$R:$R,MATCH(AH15,V!$L:$L,0)),"")</f>
        <v>129</v>
      </c>
      <c r="AH15" s="460" t="str">
        <f t="shared" si="2"/>
        <v>Jaan Saar</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338</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146</v>
      </c>
      <c r="AE16" s="459">
        <f>IFERROR(INDEX(V!$R:$R,MATCH(AF16,V!$L:$L,0)),"")</f>
        <v>73</v>
      </c>
      <c r="AF16" s="460" t="str">
        <f t="shared" si="1"/>
        <v>Ljudmila Varendi</v>
      </c>
      <c r="AG16" s="459">
        <f>IFERROR(INDEX(V!$R:$R,MATCH(AH16,V!$L:$L,0)),"")</f>
        <v>73</v>
      </c>
      <c r="AH16" s="460" t="str">
        <f t="shared" si="2"/>
        <v>Viktor Švarõgin</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258</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271</v>
      </c>
      <c r="AE17" s="459">
        <f>IFERROR(INDEX(V!$R:$R,MATCH(AF17,V!$L:$L,0)),"")</f>
        <v>132</v>
      </c>
      <c r="AF17" s="460" t="str">
        <f t="shared" si="1"/>
        <v>Henri Mitt</v>
      </c>
      <c r="AG17" s="459">
        <f>IFERROR(INDEX(V!$R:$R,MATCH(AH17,V!$L:$L,0)),"")</f>
        <v>139</v>
      </c>
      <c r="AH17" s="460" t="str">
        <f t="shared" si="2"/>
        <v>Urmas Randlaine</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hidden="1" x14ac:dyDescent="0.2">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row>
    <row r="19" spans="1:42" hidden="1" x14ac:dyDescent="0.2">
      <c r="A19" s="403"/>
      <c r="B19" s="403"/>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3"/>
      <c r="AL19" s="403"/>
      <c r="AM19" s="403"/>
      <c r="AN19" s="403"/>
      <c r="AO19" s="403"/>
      <c r="AP19" s="403"/>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row>
    <row r="22" spans="1:42"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row>
    <row r="33" spans="1:2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row>
    <row r="34" spans="1:2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row>
    <row r="35" spans="1:2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row>
    <row r="36" spans="1:2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row>
    <row r="37" spans="1:2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row>
    <row r="38" spans="1:2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row>
    <row r="39" spans="1:2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row>
    <row r="40" spans="1:2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row>
    <row r="41" spans="1:2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row>
    <row r="42" spans="1:2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row>
    <row r="43" spans="1:2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row>
    <row r="44" spans="1:2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row>
    <row r="45" spans="1:2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row>
    <row r="46" spans="1:2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row>
    <row r="47" spans="1:2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row>
    <row r="48" spans="1:2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row>
    <row r="49" spans="1:2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row>
    <row r="50" spans="1:2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row>
    <row r="51" spans="1:2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row>
    <row r="52" spans="1:2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1:2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row>
    <row r="54" spans="1:2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row>
    <row r="55" spans="1:2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row>
    <row r="56" spans="1:2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row>
    <row r="57" spans="1:2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row>
    <row r="58" spans="1:2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row>
    <row r="59" spans="1:2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row>
    <row r="60" spans="1:2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row>
    <row r="61" spans="1:2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row>
    <row r="62" spans="1:2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row>
    <row r="63" spans="1:2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row>
    <row r="64" spans="1:2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row>
    <row r="65" spans="1:2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row>
    <row r="66" spans="1:2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row>
    <row r="67" spans="1:2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row>
    <row r="68" spans="1:2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row>
    <row r="69" spans="1:2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row>
    <row r="76" spans="1:2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row>
    <row r="77" spans="1:2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row>
    <row r="78" spans="1:2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row>
    <row r="79" spans="1:2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row>
    <row r="80" spans="1:2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row>
    <row r="81" spans="1:2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row>
    <row r="82" spans="1:2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row>
    <row r="83" spans="1:2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row>
    <row r="84" spans="1:2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row>
    <row r="85" spans="1:2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row>
    <row r="86" spans="1:2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row>
    <row r="88" spans="1:2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row>
    <row r="89" spans="1:2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row>
    <row r="90" spans="1:2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row>
    <row r="91" spans="1:2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row>
    <row r="92" spans="1:2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row>
    <row r="93" spans="1:2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row>
    <row r="94" spans="1:2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row>
    <row r="95" spans="1:2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row>
    <row r="96" spans="1:2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row>
    <row r="97" spans="1:2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row>
    <row r="98" spans="1:2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row>
    <row r="99" spans="1:2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row>
    <row r="100" spans="1:2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row>
    <row r="101" spans="1:2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row>
    <row r="102" spans="1:2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row>
    <row r="103" spans="1:2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row>
    <row r="104" spans="1:2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row>
    <row r="105" spans="1:2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row>
    <row r="106" spans="1:2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row>
    <row r="107" spans="1:2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row>
    <row r="108" spans="1:2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row>
    <row r="109" spans="1:2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row>
    <row r="110" spans="1:2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row>
    <row r="111" spans="1:2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row>
    <row r="112" spans="1:2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row>
    <row r="113" spans="1:2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row>
    <row r="114" spans="1:2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row>
    <row r="115" spans="1:2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row>
    <row r="116" spans="1:2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row>
    <row r="117" spans="1:2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row>
    <row r="118" spans="1:2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row>
    <row r="119" spans="1:2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row>
    <row r="120" spans="1:2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row>
    <row r="122" spans="1:2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row>
    <row r="123" spans="1:2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row>
    <row r="124" spans="1:2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row>
    <row r="125" spans="1:2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row>
    <row r="126" spans="1:2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row>
    <row r="127" spans="1:2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row>
    <row r="128" spans="1:2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row>
    <row r="129" spans="1:2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row>
    <row r="130" spans="1:2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row>
    <row r="131" spans="1:2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row>
    <row r="132" spans="1:2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row>
    <row r="133" spans="1:2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row>
    <row r="134" spans="1:2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row>
    <row r="136" spans="1:29"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row>
    <row r="137" spans="1:29" hidden="1"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row>
    <row r="138" spans="1:2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row>
    <row r="139" spans="1:2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row>
    <row r="140" spans="1:2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row>
    <row r="141" spans="1:2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row>
    <row r="142" spans="1:2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row>
    <row r="143" spans="1:2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row>
    <row r="144" spans="1:2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row>
    <row r="145" spans="1:2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row>
    <row r="146" spans="1:2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row>
    <row r="147" spans="1:2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row>
    <row r="148" spans="1:2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row>
    <row r="149" spans="1:2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row>
    <row r="150" spans="1:2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row>
    <row r="151" spans="1:29"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row>
    <row r="152" spans="1:29"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row>
    <row r="153" spans="1:29" hidden="1"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row>
    <row r="154" spans="1:2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row>
    <row r="155" spans="1:2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row>
    <row r="156" spans="1:2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row>
    <row r="157" spans="1:2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row>
    <row r="158" spans="1:2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row>
    <row r="165" spans="1:29"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row>
    <row r="166" spans="1:29" hidden="1"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row>
    <row r="167" spans="1:2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row>
    <row r="168" spans="1:2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row>
    <row r="169" spans="1:2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row>
    <row r="170" spans="1:2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row>
    <row r="171" spans="1:2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row>
    <row r="172" spans="1:2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row>
    <row r="173" spans="1:2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row>
    <row r="174" spans="1:2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row>
    <row r="175" spans="1:2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row>
    <row r="176" spans="1:2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row>
    <row r="177" spans="1:2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row>
    <row r="178" spans="1:2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row>
    <row r="179" spans="1:2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row>
    <row r="180" spans="1:2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row>
    <row r="181" spans="1:2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row>
    <row r="182" spans="1:2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row>
    <row r="183" spans="1:2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row>
    <row r="184" spans="1:2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row>
    <row r="185" spans="1:2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row>
    <row r="186" spans="1:2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row>
    <row r="187" spans="1:2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row>
    <row r="188" spans="1:2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row>
    <row r="189" spans="1:2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row>
    <row r="190" spans="1:2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row>
    <row r="191" spans="1:2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row>
    <row r="192" spans="1:2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row>
    <row r="193" spans="1:2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row>
    <row r="194" spans="1:2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row>
    <row r="195" spans="1:2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row>
    <row r="196" spans="1:2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row>
    <row r="197" spans="1:2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row>
    <row r="198" spans="1:2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row>
    <row r="199" spans="1:2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row>
    <row r="200" spans="1:2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row>
    <row r="201" spans="1:2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row>
    <row r="202" spans="1:2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row>
    <row r="203" spans="1:2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row>
    <row r="204" spans="1:2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row>
    <row r="205" spans="1:2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row>
    <row r="206" spans="1:2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row>
    <row r="207" spans="1:2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row>
    <row r="208" spans="1:2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row>
    <row r="209" spans="1:2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row>
    <row r="210" spans="1:2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row>
    <row r="211" spans="1:2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row>
    <row r="212" spans="1:2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row>
    <row r="213" spans="1:2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row>
    <row r="214" spans="1:2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row>
    <row r="215" spans="1:2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row>
    <row r="216" spans="1:2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row>
    <row r="217" spans="1:2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row>
    <row r="218" spans="1:2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row>
    <row r="219" spans="1:2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row>
    <row r="220" spans="1:2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row>
    <row r="221" spans="1:2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row>
    <row r="222" spans="1:2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row>
    <row r="223" spans="1:2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row>
    <row r="224" spans="1:2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row>
    <row r="225" spans="1:2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row>
    <row r="226" spans="1:2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row>
    <row r="227" spans="1:2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row>
    <row r="228" spans="1:2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row>
    <row r="229" spans="1:2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row>
    <row r="230" spans="1:2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row>
    <row r="231" spans="1:2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row>
    <row r="232" spans="1:2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row>
    <row r="233" spans="1:2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row>
    <row r="234" spans="1:2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row>
    <row r="235" spans="1:2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row>
    <row r="236" spans="1:2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row>
    <row r="237" spans="1:2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row>
    <row r="238" spans="1:2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row>
    <row r="239" spans="1:2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row>
    <row r="240" spans="1:2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row>
    <row r="241" spans="1:2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row>
    <row r="242" spans="1:2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row>
    <row r="243" spans="1:2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row>
    <row r="244" spans="1:2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row>
    <row r="245" spans="1:2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row>
    <row r="246" spans="1:2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row>
    <row r="247" spans="1:2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row>
    <row r="248" spans="1:2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row>
    <row r="249" spans="1:2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row>
    <row r="250" spans="1:2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row>
    <row r="251" spans="1:2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row>
    <row r="252" spans="1:2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row>
    <row r="253" spans="1:2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row>
    <row r="254" spans="1:2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row>
    <row r="255" spans="1:2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row>
    <row r="256" spans="1:2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row>
    <row r="257" spans="1:2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row>
    <row r="258" spans="1:2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row>
    <row r="259" spans="1:2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row>
    <row r="260" spans="1:2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row>
    <row r="261" spans="1:2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row>
    <row r="262" spans="1:2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row>
    <row r="263" spans="1:2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row>
    <row r="264" spans="1:2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row>
    <row r="265" spans="1:2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row>
    <row r="266" spans="1:2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row>
    <row r="267" spans="1:2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row>
    <row r="268" spans="1:2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row>
    <row r="269" spans="1:2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row>
    <row r="270" spans="1:2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row>
    <row r="271" spans="1:2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row>
    <row r="272" spans="1:2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row>
    <row r="273" spans="1:2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row>
    <row r="274" spans="1:2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row>
    <row r="275" spans="1:2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row>
    <row r="276" spans="1:2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row>
    <row r="277" spans="1:2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row>
    <row r="278" spans="1:2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row>
    <row r="279" spans="1:2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row>
    <row r="280" spans="1:2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row>
    <row r="281" spans="1:2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row>
    <row r="282" spans="1:2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row>
    <row r="283" spans="1:2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row>
    <row r="284" spans="1:2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row>
    <row r="285" spans="1:2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row>
    <row r="286" spans="1:2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row>
    <row r="287" spans="1:29"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row>
    <row r="288" spans="1:29"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row>
    <row r="289" spans="1:39" hidden="1"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row>
    <row r="290" spans="1:39" hidden="1" x14ac:dyDescent="0.2">
      <c r="J290" s="403"/>
      <c r="K290" s="403"/>
      <c r="L290" s="403"/>
      <c r="M290" s="403"/>
      <c r="N290" s="403"/>
      <c r="O290" s="403"/>
      <c r="P290" s="403"/>
      <c r="Q290" s="403"/>
      <c r="R290" s="403"/>
      <c r="S290" s="403"/>
      <c r="T290" s="403"/>
      <c r="U290" s="403"/>
      <c r="V290" s="403"/>
      <c r="W290" s="403"/>
      <c r="X290" s="403"/>
      <c r="Y290" s="403"/>
      <c r="Z290" s="403"/>
      <c r="AA290" s="403"/>
      <c r="AB290" s="403"/>
      <c r="AC290" s="403"/>
    </row>
    <row r="291" spans="1:39" hidden="1" x14ac:dyDescent="0.2">
      <c r="J291" s="403"/>
      <c r="K291" s="403"/>
      <c r="L291" s="403"/>
      <c r="M291" s="403"/>
      <c r="N291" s="403"/>
      <c r="O291" s="403"/>
      <c r="P291" s="403"/>
      <c r="Q291" s="403"/>
      <c r="R291" s="403"/>
      <c r="S291" s="403"/>
      <c r="T291" s="403"/>
      <c r="U291" s="403"/>
      <c r="V291" s="403"/>
      <c r="W291" s="403"/>
      <c r="X291" s="403"/>
      <c r="Y291" s="403"/>
      <c r="Z291" s="403"/>
      <c r="AA291" s="403"/>
      <c r="AB291" s="403"/>
      <c r="AC291" s="403"/>
    </row>
    <row r="292" spans="1:39" hidden="1" x14ac:dyDescent="0.2">
      <c r="J292" s="403"/>
      <c r="K292" s="403"/>
      <c r="L292" s="403"/>
      <c r="M292" s="403"/>
      <c r="N292" s="403"/>
      <c r="O292" s="403"/>
      <c r="P292" s="403"/>
      <c r="Q292" s="403"/>
      <c r="R292" s="403"/>
      <c r="S292" s="403"/>
      <c r="T292" s="403"/>
      <c r="U292" s="403"/>
      <c r="V292" s="403"/>
      <c r="W292" s="453"/>
      <c r="X292" s="403"/>
      <c r="Y292" s="403"/>
      <c r="Z292" s="403"/>
      <c r="AA292" s="403"/>
      <c r="AB292" s="403"/>
      <c r="AC292" s="403"/>
    </row>
    <row r="293" spans="1:39" hidden="1" x14ac:dyDescent="0.2">
      <c r="J293" s="403"/>
      <c r="K293" s="403"/>
      <c r="L293" s="403"/>
      <c r="M293" s="403"/>
      <c r="N293" s="403"/>
      <c r="O293" s="403"/>
      <c r="P293" s="403"/>
      <c r="Q293" s="403"/>
      <c r="R293" s="403"/>
      <c r="S293" s="403"/>
      <c r="T293" s="403"/>
      <c r="U293" s="403"/>
      <c r="V293" s="403"/>
      <c r="W293" s="403"/>
      <c r="X293" s="403"/>
      <c r="Y293" s="403"/>
      <c r="Z293" s="403"/>
      <c r="AA293" s="403"/>
      <c r="AB293" s="403"/>
      <c r="AC293" s="403"/>
    </row>
    <row r="294" spans="1:39" hidden="1" x14ac:dyDescent="0.2">
      <c r="J294" s="403"/>
      <c r="K294" s="403"/>
      <c r="L294" s="403"/>
      <c r="M294" s="403"/>
      <c r="N294" s="403"/>
      <c r="O294" s="403"/>
      <c r="P294" s="403"/>
      <c r="Q294" s="403"/>
      <c r="R294" s="403"/>
      <c r="S294" s="403"/>
      <c r="T294" s="403"/>
      <c r="U294" s="403"/>
      <c r="V294" s="403"/>
      <c r="W294" s="403"/>
      <c r="X294" s="403"/>
      <c r="Y294" s="403"/>
      <c r="Z294" s="403"/>
      <c r="AA294" s="403"/>
      <c r="AB294" s="403"/>
      <c r="AC294" s="403"/>
    </row>
    <row r="295" spans="1:39" hidden="1" x14ac:dyDescent="0.2">
      <c r="J295" s="403"/>
      <c r="K295" s="403"/>
      <c r="L295" s="403"/>
      <c r="M295" s="403"/>
      <c r="N295" s="403"/>
      <c r="O295" s="403"/>
      <c r="P295" s="403"/>
      <c r="Q295" s="403"/>
      <c r="R295" s="403"/>
      <c r="S295" s="403"/>
      <c r="T295" s="403"/>
      <c r="U295" s="403"/>
      <c r="V295" s="403"/>
      <c r="W295" s="403"/>
      <c r="X295" s="403"/>
      <c r="Y295" s="403"/>
      <c r="Z295" s="403"/>
      <c r="AA295" s="403"/>
      <c r="AB295" s="403"/>
      <c r="AC295" s="403"/>
    </row>
    <row r="296" spans="1:39" hidden="1" x14ac:dyDescent="0.2">
      <c r="J296" s="403"/>
      <c r="K296" s="403"/>
      <c r="L296" s="403"/>
      <c r="M296" s="403"/>
      <c r="N296" s="403"/>
      <c r="O296" s="403"/>
      <c r="P296" s="403"/>
      <c r="Q296" s="403"/>
      <c r="R296" s="403"/>
      <c r="S296" s="403"/>
      <c r="T296" s="403"/>
      <c r="U296" s="403"/>
      <c r="V296" s="403"/>
      <c r="W296" s="403"/>
      <c r="X296" s="403"/>
      <c r="Y296" s="403"/>
      <c r="Z296" s="403"/>
      <c r="AA296" s="403"/>
      <c r="AB296" s="403"/>
      <c r="AC296" s="403"/>
    </row>
    <row r="297" spans="1:39" hidden="1" x14ac:dyDescent="0.2">
      <c r="J297" s="403"/>
      <c r="K297" s="403"/>
      <c r="L297" s="403"/>
      <c r="M297" s="403"/>
      <c r="N297" s="403"/>
      <c r="O297" s="403"/>
      <c r="P297" s="403"/>
      <c r="Q297" s="403"/>
      <c r="R297" s="403"/>
      <c r="S297" s="403"/>
      <c r="T297" s="403"/>
      <c r="U297" s="403"/>
      <c r="V297" s="403"/>
      <c r="W297" s="453"/>
      <c r="X297" s="403"/>
      <c r="Y297" s="403"/>
      <c r="Z297" s="403"/>
      <c r="AA297" s="403"/>
      <c r="AB297" s="403"/>
      <c r="AC297" s="403"/>
    </row>
    <row r="298" spans="1:39" x14ac:dyDescent="0.2">
      <c r="J298" s="403"/>
      <c r="K298" s="403"/>
      <c r="L298" s="403"/>
      <c r="M298" s="403"/>
      <c r="N298" s="403"/>
      <c r="O298" s="403"/>
      <c r="P298" s="403"/>
      <c r="Q298" s="403"/>
      <c r="R298" s="403"/>
      <c r="S298" s="403"/>
      <c r="T298" s="403"/>
      <c r="U298" s="403"/>
      <c r="V298" s="403"/>
      <c r="W298" s="403"/>
      <c r="X298" s="403"/>
      <c r="Y298" s="403"/>
      <c r="Z298" s="403"/>
      <c r="AA298" s="403"/>
      <c r="AB298" s="403"/>
      <c r="AC298" s="403"/>
    </row>
    <row r="299" spans="1:39" x14ac:dyDescent="0.2">
      <c r="A299" s="403"/>
      <c r="B299" s="403"/>
      <c r="C299" s="447" t="s">
        <v>69</v>
      </c>
      <c r="D299" s="448"/>
      <c r="E299" s="448"/>
      <c r="F299" s="987"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row>
    <row r="300" spans="1:39" x14ac:dyDescent="0.2">
      <c r="A300" s="449">
        <v>1</v>
      </c>
      <c r="B300" s="450" t="str">
        <f t="shared" ref="B300:B309" si="11">IFERROR(INDEX(B$1:B$91,MATCH(A300,A$1:A$91,0)),"")</f>
        <v>Olav Türk, Urmas Jõeäär</v>
      </c>
      <c r="C300" s="451">
        <f>IF(21-A300&gt;0,IF(OR(A300=A301,A299=A300),21-A300-0.5,21-A300),1)</f>
        <v>20</v>
      </c>
      <c r="D300" s="452"/>
      <c r="E300" s="452"/>
      <c r="F300" s="987">
        <v>5</v>
      </c>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row>
    <row r="301" spans="1:39" x14ac:dyDescent="0.2">
      <c r="A301" s="449">
        <v>2</v>
      </c>
      <c r="B301" s="450" t="str">
        <f t="shared" si="11"/>
        <v>Meelis Luud, Sander Rose</v>
      </c>
      <c r="C301" s="451">
        <f t="shared" ref="C301:C309" si="12">IF(21-A301&gt;0,IF(OR(A301=A302,A300=A301),21-A301-0.5,21-A301),1)</f>
        <v>19</v>
      </c>
      <c r="D301" s="404"/>
      <c r="E301" s="404"/>
      <c r="F301" s="987">
        <v>4</v>
      </c>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row>
    <row r="302" spans="1:39" x14ac:dyDescent="0.2">
      <c r="A302" s="449">
        <v>3</v>
      </c>
      <c r="B302" s="450" t="str">
        <f t="shared" si="11"/>
        <v>Boriss Klubov, Elmo Lageda</v>
      </c>
      <c r="C302" s="451">
        <f t="shared" si="12"/>
        <v>18</v>
      </c>
      <c r="D302" s="404"/>
      <c r="E302" s="404"/>
      <c r="F302" s="987">
        <v>3</v>
      </c>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row>
    <row r="303" spans="1:39" x14ac:dyDescent="0.2">
      <c r="A303" s="449">
        <v>4</v>
      </c>
      <c r="B303" s="450" t="str">
        <f t="shared" si="11"/>
        <v>Oliver Ojasalu, Tõnis Neiland</v>
      </c>
      <c r="C303" s="451">
        <f t="shared" si="12"/>
        <v>17</v>
      </c>
      <c r="D303" s="404"/>
      <c r="E303" s="404"/>
      <c r="F303" s="987">
        <v>3</v>
      </c>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row>
    <row r="304" spans="1:39" x14ac:dyDescent="0.2">
      <c r="A304" s="449">
        <v>5</v>
      </c>
      <c r="B304" s="450" t="str">
        <f t="shared" si="11"/>
        <v>Andres Veski, Svetlana Veski</v>
      </c>
      <c r="C304" s="451">
        <f t="shared" si="12"/>
        <v>16</v>
      </c>
      <c r="D304" s="404"/>
      <c r="E304" s="404"/>
      <c r="F304" s="987">
        <v>3</v>
      </c>
      <c r="G304" s="403"/>
      <c r="H304" s="403"/>
      <c r="I304" s="403"/>
    </row>
    <row r="305" spans="1:10" x14ac:dyDescent="0.2">
      <c r="A305" s="449">
        <v>6</v>
      </c>
      <c r="B305" s="450" t="str">
        <f t="shared" si="11"/>
        <v>Kaspar Mänd, Oleg Rõndenkov</v>
      </c>
      <c r="C305" s="451">
        <f t="shared" si="12"/>
        <v>15</v>
      </c>
      <c r="D305" s="404"/>
      <c r="E305" s="404"/>
      <c r="F305" s="987">
        <v>3</v>
      </c>
      <c r="G305" s="403"/>
      <c r="H305" s="403"/>
      <c r="I305" s="403"/>
    </row>
    <row r="306" spans="1:10" x14ac:dyDescent="0.2">
      <c r="A306" s="449">
        <v>7</v>
      </c>
      <c r="B306" s="450" t="str">
        <f t="shared" si="11"/>
        <v>Kenneth Muusikus, Marta Bernat</v>
      </c>
      <c r="C306" s="451">
        <f t="shared" si="12"/>
        <v>14</v>
      </c>
      <c r="D306" s="404"/>
      <c r="E306" s="404"/>
      <c r="F306" s="987">
        <v>1</v>
      </c>
      <c r="G306" s="403"/>
      <c r="H306" s="403"/>
      <c r="I306" s="403"/>
    </row>
    <row r="307" spans="1:10" x14ac:dyDescent="0.2">
      <c r="A307" s="449">
        <v>8</v>
      </c>
      <c r="B307" s="450" t="str">
        <f t="shared" si="11"/>
        <v>Andrei Grintšak, Jaan Saar</v>
      </c>
      <c r="C307" s="451">
        <f t="shared" si="12"/>
        <v>13</v>
      </c>
      <c r="D307" s="404"/>
      <c r="E307" s="404"/>
      <c r="F307" s="987">
        <v>1</v>
      </c>
      <c r="G307" s="403"/>
      <c r="H307" s="403"/>
      <c r="I307" s="403"/>
    </row>
    <row r="308" spans="1:10" x14ac:dyDescent="0.2">
      <c r="A308" s="449">
        <v>9</v>
      </c>
      <c r="B308" s="450" t="str">
        <f t="shared" si="11"/>
        <v>Ljudmila Varendi, Viktor Švarõgin</v>
      </c>
      <c r="C308" s="451">
        <f t="shared" si="12"/>
        <v>12</v>
      </c>
      <c r="D308" s="404"/>
      <c r="E308" s="404"/>
      <c r="F308" s="987">
        <v>1</v>
      </c>
      <c r="G308" s="403"/>
      <c r="H308" s="403"/>
      <c r="I308" s="403"/>
    </row>
    <row r="309" spans="1:10" x14ac:dyDescent="0.2">
      <c r="A309" s="449">
        <v>10</v>
      </c>
      <c r="B309" s="450" t="str">
        <f t="shared" si="11"/>
        <v>Henri Mitt, Urmas Randlaine</v>
      </c>
      <c r="C309" s="451">
        <f t="shared" si="12"/>
        <v>11</v>
      </c>
      <c r="D309" s="404"/>
      <c r="E309" s="404"/>
      <c r="F309" s="987">
        <v>1</v>
      </c>
      <c r="G309" s="403"/>
      <c r="H309" s="403"/>
      <c r="I309" s="403"/>
    </row>
    <row r="310" spans="1:10" x14ac:dyDescent="0.2">
      <c r="A310" s="403"/>
      <c r="B310" s="403"/>
      <c r="C310" s="403"/>
      <c r="D310" s="403"/>
      <c r="E310" s="403"/>
      <c r="F310" s="403"/>
      <c r="G310" s="403"/>
      <c r="H310" s="403"/>
      <c r="I310" s="403"/>
      <c r="J310" s="403"/>
    </row>
    <row r="311" spans="1:10" x14ac:dyDescent="0.2">
      <c r="A311" s="403"/>
      <c r="B311" s="403"/>
      <c r="C311" s="403"/>
      <c r="D311" s="403"/>
      <c r="E311" s="403"/>
      <c r="F311" s="403"/>
      <c r="G311" s="403"/>
      <c r="H311" s="403"/>
      <c r="I311" s="403"/>
      <c r="J311" s="403"/>
    </row>
    <row r="312" spans="1:10" x14ac:dyDescent="0.2">
      <c r="A312" s="403"/>
      <c r="B312" s="403"/>
      <c r="C312" s="403"/>
      <c r="D312" s="403"/>
      <c r="E312" s="403"/>
      <c r="F312" s="403"/>
      <c r="G312" s="403"/>
      <c r="H312" s="403"/>
      <c r="I312" s="403"/>
      <c r="J312" s="403"/>
    </row>
    <row r="313" spans="1:10" x14ac:dyDescent="0.2">
      <c r="A313" s="403"/>
      <c r="B313" s="403"/>
      <c r="C313" s="403"/>
      <c r="D313" s="403"/>
      <c r="E313" s="403"/>
      <c r="F313" s="403"/>
      <c r="G313" s="403"/>
      <c r="H313" s="403"/>
      <c r="I313" s="403"/>
      <c r="J313" s="403"/>
    </row>
    <row r="314" spans="1:10" x14ac:dyDescent="0.2">
      <c r="A314" s="403"/>
      <c r="B314" s="403"/>
      <c r="C314" s="403"/>
      <c r="D314" s="403"/>
      <c r="E314" s="403"/>
      <c r="F314" s="403"/>
      <c r="G314" s="403"/>
      <c r="H314" s="403"/>
      <c r="I314" s="403"/>
      <c r="J314" s="403"/>
    </row>
    <row r="315" spans="1:10" x14ac:dyDescent="0.2">
      <c r="A315" s="403"/>
      <c r="B315" s="403"/>
      <c r="C315" s="403"/>
      <c r="D315" s="403"/>
      <c r="E315" s="403"/>
      <c r="F315" s="403"/>
      <c r="G315" s="403"/>
      <c r="H315" s="403"/>
      <c r="I315" s="403"/>
      <c r="J315" s="403"/>
    </row>
  </sheetData>
  <conditionalFormatting sqref="C8:C17">
    <cfRule type="expression" dxfId="1125" priority="40">
      <formula>IF($C8&gt;$E8,TRUE)</formula>
    </cfRule>
  </conditionalFormatting>
  <conditionalFormatting sqref="E8:E17">
    <cfRule type="expression" dxfId="1124" priority="41">
      <formula>IF($C8&lt;$E8,TRUE)</formula>
    </cfRule>
  </conditionalFormatting>
  <conditionalFormatting sqref="K8:K17">
    <cfRule type="expression" dxfId="1123" priority="48">
      <formula>IF($K8&gt;$M8,TRUE)</formula>
    </cfRule>
  </conditionalFormatting>
  <conditionalFormatting sqref="M8:M17">
    <cfRule type="expression" dxfId="1122" priority="49">
      <formula>IF($K8&lt;$M8,TRUE)</formula>
    </cfRule>
  </conditionalFormatting>
  <conditionalFormatting sqref="O8:O17">
    <cfRule type="expression" dxfId="1121" priority="52">
      <formula>IF($O8&gt;$Q8,TRUE)</formula>
    </cfRule>
  </conditionalFormatting>
  <conditionalFormatting sqref="Q8:Q17">
    <cfRule type="expression" dxfId="1120" priority="53">
      <formula>IF($O8&lt;$Q8,TRUE)</formula>
    </cfRule>
  </conditionalFormatting>
  <conditionalFormatting sqref="S8:S17">
    <cfRule type="expression" dxfId="1119" priority="56">
      <formula>IF($S8&gt;$U8,TRUE)</formula>
    </cfRule>
  </conditionalFormatting>
  <conditionalFormatting sqref="U8:U17">
    <cfRule type="expression" dxfId="1118" priority="57">
      <formula>IF($S8&lt;$U8,TRUE)</formula>
    </cfRule>
  </conditionalFormatting>
  <conditionalFormatting sqref="G8:G17">
    <cfRule type="expression" dxfId="1117" priority="44">
      <formula>IF($G8&gt;$I8,TRUE)</formula>
    </cfRule>
  </conditionalFormatting>
  <conditionalFormatting sqref="I8:I17">
    <cfRule type="expression" dxfId="1116" priority="45">
      <formula>IF($G8&lt;$I8,TRUE)</formula>
    </cfRule>
  </conditionalFormatting>
  <conditionalFormatting sqref="F8:F17">
    <cfRule type="containsText" dxfId="1115" priority="31" operator="containsText" text="vaba voor">
      <formula>NOT(ISERROR(SEARCH("vaba voor",F8)))</formula>
    </cfRule>
  </conditionalFormatting>
  <conditionalFormatting sqref="N8:N17">
    <cfRule type="containsText" dxfId="1114" priority="29" operator="containsText" text="vaba voor">
      <formula>NOT(ISERROR(SEARCH("vaba voor",N8)))</formula>
    </cfRule>
  </conditionalFormatting>
  <conditionalFormatting sqref="R8:R17">
    <cfRule type="containsText" dxfId="1113" priority="32" operator="containsText" text="vaba voor">
      <formula>NOT(ISERROR(SEARCH("vaba voor",R8)))</formula>
    </cfRule>
  </conditionalFormatting>
  <conditionalFormatting sqref="V8:V17">
    <cfRule type="containsText" dxfId="1112" priority="28" operator="containsText" text="vaba voor">
      <formula>NOT(ISERROR(SEARCH("vaba voor",V8)))</formula>
    </cfRule>
  </conditionalFormatting>
  <conditionalFormatting sqref="J8:J17">
    <cfRule type="containsText" dxfId="1111" priority="30" operator="containsText" text="vaba voor">
      <formula>NOT(ISERROR(SEARCH("vaba voor",J8)))</formula>
    </cfRule>
  </conditionalFormatting>
  <conditionalFormatting sqref="C8:F17">
    <cfRule type="expression" dxfId="1110" priority="36">
      <formula>IF(AND(ISNUMBER($C8),$C8=$E8),TRUE)</formula>
    </cfRule>
    <cfRule type="expression" dxfId="1109" priority="38">
      <formula>IF($C8&gt;$E8,TRUE)</formula>
    </cfRule>
    <cfRule type="expression" dxfId="1108" priority="39">
      <formula>IF($C8&lt;$E8,TRUE)</formula>
    </cfRule>
  </conditionalFormatting>
  <conditionalFormatting sqref="G8:J17">
    <cfRule type="expression" dxfId="1107" priority="37">
      <formula>IF(AND(ISNUMBER($G8),$G8=$I8),TRUE)</formula>
    </cfRule>
    <cfRule type="expression" dxfId="1106" priority="42">
      <formula>IF($G8&gt;$I8,TRUE)</formula>
    </cfRule>
    <cfRule type="expression" dxfId="1105" priority="43">
      <formula>IF($G8&lt;$I8,TRUE)</formula>
    </cfRule>
  </conditionalFormatting>
  <conditionalFormatting sqref="K8:N17">
    <cfRule type="expression" dxfId="1104" priority="35">
      <formula>IF(AND(ISNUMBER($K8),$K8=$M8),TRUE)</formula>
    </cfRule>
    <cfRule type="expression" dxfId="1103" priority="46">
      <formula>IF($K8&gt;$M8,TRUE)</formula>
    </cfRule>
    <cfRule type="expression" dxfId="1102" priority="47">
      <formula>IF($K8&lt;$M8,TRUE)</formula>
    </cfRule>
  </conditionalFormatting>
  <conditionalFormatting sqref="O8:R17">
    <cfRule type="expression" dxfId="1101" priority="34">
      <formula>IF(AND(ISNUMBER($O8),$O8=$Q8),TRUE)</formula>
    </cfRule>
    <cfRule type="expression" dxfId="1100" priority="50">
      <formula>IF($O8&gt;$Q8,TRUE)</formula>
    </cfRule>
    <cfRule type="expression" dxfId="1099" priority="51">
      <formula>IF($O8&lt;$Q8,TRUE)</formula>
    </cfRule>
  </conditionalFormatting>
  <conditionalFormatting sqref="S8:V17">
    <cfRule type="expression" dxfId="1098" priority="33">
      <formula>IF(AND(ISNUMBER($S8),$S8=$U8),TRUE)</formula>
    </cfRule>
    <cfRule type="expression" dxfId="1097" priority="54">
      <formula>IF($S8&gt;$U8,TRUE)</formula>
    </cfRule>
    <cfRule type="expression" dxfId="1096" priority="55">
      <formula>IF($S8&lt;$U8,TRUE)</formula>
    </cfRule>
  </conditionalFormatting>
  <conditionalFormatting sqref="C8:C17 G8:G17 K8:K17 O8:O17 S8:S17">
    <cfRule type="expression" dxfId="1095" priority="26">
      <formula>AND(C8=0,E8=13)</formula>
    </cfRule>
  </conditionalFormatting>
  <conditionalFormatting sqref="E8:E17 I8:I17 M8:M17 Q8:Q17 U8:U17">
    <cfRule type="expression" dxfId="1094" priority="27">
      <formula>AND(E8=0,C8=13)</formula>
    </cfRule>
  </conditionalFormatting>
  <conditionalFormatting sqref="A300:A309">
    <cfRule type="duplicateValues" dxfId="1093" priority="110"/>
  </conditionalFormatting>
  <conditionalFormatting sqref="A8:A17">
    <cfRule type="duplicateValues" dxfId="1092" priority="151"/>
  </conditionalFormatting>
  <conditionalFormatting sqref="B300:B309">
    <cfRule type="expression" dxfId="1091" priority="181">
      <formula>A300=3</formula>
    </cfRule>
    <cfRule type="expression" dxfId="1090" priority="182">
      <formula>A300=2</formula>
    </cfRule>
    <cfRule type="expression" dxfId="1089" priority="183">
      <formula>A300=1</formula>
    </cfRule>
    <cfRule type="containsBlanks" dxfId="1088" priority="184">
      <formula>LEN(TRIM(B300))=0</formula>
    </cfRule>
    <cfRule type="duplicateValues" dxfId="1087" priority="185"/>
  </conditionalFormatting>
  <conditionalFormatting sqref="AJ6:AJ17">
    <cfRule type="expression" dxfId="1086" priority="5">
      <formula>AND(AI6="",FIND(",",AJ6))</formula>
    </cfRule>
    <cfRule type="expression" dxfId="1085" priority="7">
      <formula>AND(AI6="",COUNTIF(AJ6,"*,*")=0)</formula>
    </cfRule>
  </conditionalFormatting>
  <conditionalFormatting sqref="AH6:AH17">
    <cfRule type="expression" dxfId="1084" priority="8">
      <formula>AND(AG6="",FIND(",",AH6))</formula>
    </cfRule>
    <cfRule type="expression" dxfId="1083" priority="9">
      <formula>AND(AG6="",COUNTIF(AH6,"*,*")=0)</formula>
    </cfRule>
  </conditionalFormatting>
  <conditionalFormatting sqref="AL6:AL17">
    <cfRule type="expression" dxfId="1082" priority="10">
      <formula>AND(AK6="",FIND(",",AL6))</formula>
    </cfRule>
    <cfRule type="expression" dxfId="1081" priority="11">
      <formula>AND(AK6="",COUNTIF(AL6,"*,*")=0)</formula>
    </cfRule>
  </conditionalFormatting>
  <conditionalFormatting sqref="AF6:AF17">
    <cfRule type="expression" dxfId="1080" priority="6">
      <formula>AND(AE6="",COUNTIF(AF6,"*,*")=0)</formula>
    </cfRule>
  </conditionalFormatting>
  <conditionalFormatting sqref="AN6:AN17">
    <cfRule type="expression" dxfId="1079" priority="2">
      <formula>AND(AM6="",COUNTIF(AN6,"*,*")=0)</formula>
    </cfRule>
    <cfRule type="expression" dxfId="1078" priority="4">
      <formula>AND(AM6="",FIND(",",AN6))</formula>
    </cfRule>
  </conditionalFormatting>
  <conditionalFormatting sqref="AP6:AP17">
    <cfRule type="expression" dxfId="1077" priority="1">
      <formula>AND(AO6="",COUNTIF(AP6,"*,*")=0)</formula>
    </cfRule>
    <cfRule type="expression" dxfId="107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13"/>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7.140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25.710937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UPPER((Kalend!E25)&amp;" - "&amp;(Kalend!C25)&amp;" - "&amp;(Kalend!D25))</f>
        <v>V6 - VOKA VIII KV 6. ETAPP - DUO</v>
      </c>
      <c r="B1" s="403"/>
      <c r="C1" s="404"/>
      <c r="D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"&amp;(Kalend!A25)&amp;" kell "&amp;(Kalend!B25)</f>
        <v>Toimumisaeg: K, 07.07.2021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"&amp;(Kalend!F25)</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"&amp;(Kalend!G25)</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8" si="0">SUM(AE7:AP7)</f>
        <v>0</v>
      </c>
      <c r="AE7" s="459" t="str">
        <f>IFERROR(INDEX(V!$R:$R,MATCH(AF7,V!$L:$L,0)),"")</f>
        <v/>
      </c>
      <c r="AF7" s="460" t="str">
        <f t="shared" ref="AF7:AF70" si="1">IFERROR(LEFT($B7,(FIND(",",$B7,1)-1)),"")</f>
        <v/>
      </c>
      <c r="AG7" s="459" t="str">
        <f>IFERROR(INDEX(V!$R:$R,MATCH(AH7,V!$L:$L,0)),"")</f>
        <v/>
      </c>
      <c r="AH7" s="460" t="str">
        <f t="shared" ref="AH7:AH70" si="2">IFERROR(MID($B7,FIND(", ",$B7)+2,256),"")</f>
        <v/>
      </c>
      <c r="AI7" s="459" t="str">
        <f>IFERROR(INDEX(V!$R:$R,MATCH(AJ7,V!$L:$L,0)),"")</f>
        <v/>
      </c>
      <c r="AJ7" s="460" t="str">
        <f t="shared" ref="AJ7:AJ70" si="3">IFERROR(MID($B7,FIND("^",SUBSTITUTE($B7,", ","^",1))+2,FIND("^",SUBSTITUTE($B7,", ","^",2))-FIND("^",SUBSTITUTE($B7,", ","^",1))-2),"")</f>
        <v/>
      </c>
      <c r="AK7" s="459" t="str">
        <f>IFERROR(INDEX(V!$R:$R,MATCH(AL7,V!$L:$L,0)),"")</f>
        <v/>
      </c>
      <c r="AL7" s="460" t="str">
        <f t="shared" ref="AL7:AL70" si="4">IFERROR(MID($B7,FIND(", ",$B7,FIND(", ",$B7,FIND(", ",$B7))+1)+2,30000),"")</f>
        <v/>
      </c>
      <c r="AM7" s="459" t="str">
        <f>IFERROR(INDEX(V!$R:$R,MATCH(AN7,V!$L:$L,0)),"")</f>
        <v/>
      </c>
      <c r="AN7" s="460" t="str">
        <f t="shared" ref="AN7:AN70" si="5">IFERROR(MID($B7,FIND(", ",$B7,FIND(", ",$B7)+1)+2,FIND(", ",$B7,FIND(", ",$B7,FIND(", ",$B7)+1)+1)-FIND(", ",$B7,FIND(", ",$B7)+1)-2),"")</f>
        <v/>
      </c>
      <c r="AO7" s="459" t="str">
        <f>IFERROR(INDEX(V!$R:$R,MATCH(AP7,V!$L:$L,0)),"")</f>
        <v/>
      </c>
      <c r="AP7" s="460" t="str">
        <f t="shared" ref="AP7:AP70" si="6">IFERROR(MID($B7,FIND(", ",$B7,FIND(", ",$B7,FIND(", ",$B7)+1)+1)+2,30000),"")</f>
        <v/>
      </c>
    </row>
    <row r="8" spans="1:42" x14ac:dyDescent="0.2">
      <c r="A8" s="435">
        <v>1</v>
      </c>
      <c r="B8" s="436" t="s">
        <v>251</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314</v>
      </c>
      <c r="AE8" s="459">
        <f>IFERROR(INDEX(V!$R:$R,MATCH(AF8,V!$L:$L,0)),"")</f>
        <v>159</v>
      </c>
      <c r="AF8" s="460" t="str">
        <f t="shared" si="1"/>
        <v>Meelis Luud</v>
      </c>
      <c r="AG8" s="459">
        <f>IFERROR(INDEX(V!$R:$R,MATCH(AH8,V!$L:$L,0)),"")</f>
        <v>155</v>
      </c>
      <c r="AH8" s="460" t="str">
        <f t="shared" si="2"/>
        <v>Sander Rose</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476</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1" si="7">IF(C9&gt;E9,J$3,IF(C9&lt;E9,J$5,IF(ISNUMBER(C9),J$4,0)))+IF(G9&gt;I9,J$3,IF(G9&lt;I9,J$5,IF(ISNUMBER(G9),J$4,0)))+IF(K9&gt;M9,J$3,IF(K9&lt;M9,J$5,IF(ISNUMBER(K9),J$4,0)))+IF(O9&gt;Q9,J$3,IF(O9&lt;Q9,J$5,IF(ISNUMBER(O9),J$4,0)))+IF(S9&gt;U9,J$3,IF(S9&lt;U9,J$5,IF(ISNUMBER(S9),J$4,0)))</f>
        <v>0</v>
      </c>
      <c r="X9" s="442"/>
      <c r="Y9" s="437">
        <f t="shared" ref="Y9:Y21" si="8">C9+G9+K9+O9+S9</f>
        <v>0</v>
      </c>
      <c r="Z9" s="438" t="s">
        <v>246</v>
      </c>
      <c r="AA9" s="443">
        <f t="shared" ref="AA9:AA21" si="9">E9+I9+M9+Q9+U9</f>
        <v>0</v>
      </c>
      <c r="AB9" s="444">
        <f t="shared" ref="AB9:AB21" si="10">Y9-AA9</f>
        <v>0</v>
      </c>
      <c r="AC9" s="445"/>
      <c r="AD9" s="458">
        <f t="shared" si="0"/>
        <v>231</v>
      </c>
      <c r="AE9" s="459">
        <f>IFERROR(INDEX(V!$R:$R,MATCH(AF9,V!$L:$L,0)),"")</f>
        <v>160</v>
      </c>
      <c r="AF9" s="460" t="str">
        <f t="shared" si="1"/>
        <v>Kenneth Muusikus</v>
      </c>
      <c r="AG9" s="459">
        <f>IFERROR(INDEX(V!$R:$R,MATCH(AH9,V!$L:$L,0)),"")</f>
        <v>71</v>
      </c>
      <c r="AH9" s="460" t="str">
        <f t="shared" si="2"/>
        <v>Marta Bernat</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499</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140</v>
      </c>
      <c r="AE10" s="459">
        <f>IFERROR(INDEX(V!$R:$R,MATCH(AF10,V!$L:$L,0)),"")</f>
        <v>98</v>
      </c>
      <c r="AF10" s="460" t="str">
        <f t="shared" si="1"/>
        <v>Andrei Grintšak</v>
      </c>
      <c r="AG10" s="459">
        <f>IFERROR(INDEX(V!$R:$R,MATCH(AH10,V!$L:$L,0)),"")</f>
        <v>42</v>
      </c>
      <c r="AH10" s="460" t="str">
        <f t="shared" si="2"/>
        <v>Daniil Alekankin</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492</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217</v>
      </c>
      <c r="AE11" s="459">
        <f>IFERROR(INDEX(V!$R:$R,MATCH(AF11,V!$L:$L,0)),"")</f>
        <v>114</v>
      </c>
      <c r="AF11" s="460" t="str">
        <f t="shared" si="1"/>
        <v>Oliver Ojasalu</v>
      </c>
      <c r="AG11" s="459">
        <f>IFERROR(INDEX(V!$R:$R,MATCH(AH11,V!$L:$L,0)),"")</f>
        <v>103</v>
      </c>
      <c r="AH11" s="460" t="str">
        <f t="shared" si="2"/>
        <v>Tõnis Neiland</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503</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170</v>
      </c>
      <c r="AE12" s="459">
        <f>IFERROR(INDEX(V!$R:$R,MATCH(AF12,V!$L:$L,0)),"")</f>
        <v>103</v>
      </c>
      <c r="AF12" s="460" t="str">
        <f t="shared" si="1"/>
        <v>Olav Türk</v>
      </c>
      <c r="AG12" s="459">
        <f>IFERROR(INDEX(V!$R:$R,MATCH(AH12,V!$L:$L,0)),"")</f>
        <v>67</v>
      </c>
      <c r="AH12" s="460" t="str">
        <f t="shared" si="2"/>
        <v>Urmas Jõeäär</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506</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273</v>
      </c>
      <c r="AE13" s="459">
        <f>IFERROR(INDEX(V!$R:$R,MATCH(AF13,V!$L:$L,0)),"")</f>
        <v>139</v>
      </c>
      <c r="AF13" s="460" t="str">
        <f t="shared" si="1"/>
        <v>Andres Veski</v>
      </c>
      <c r="AG13" s="459">
        <f>IFERROR(INDEX(V!$R:$R,MATCH(AH13,V!$L:$L,0)),"")</f>
        <v>134</v>
      </c>
      <c r="AH13" s="460" t="str">
        <f t="shared" si="2"/>
        <v>Elmo Lageda</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258</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271</v>
      </c>
      <c r="AE14" s="459">
        <f>IFERROR(INDEX(V!$R:$R,MATCH(AF14,V!$L:$L,0)),"")</f>
        <v>132</v>
      </c>
      <c r="AF14" s="460" t="str">
        <f t="shared" si="1"/>
        <v>Henri Mitt</v>
      </c>
      <c r="AG14" s="459">
        <f>IFERROR(INDEX(V!$R:$R,MATCH(AH14,V!$L:$L,0)),"")</f>
        <v>139</v>
      </c>
      <c r="AH14" s="460" t="str">
        <f t="shared" si="2"/>
        <v>Urmas Randlaine</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262</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142</v>
      </c>
      <c r="AE15" s="459">
        <f>IFERROR(INDEX(V!$R:$R,MATCH(AF15,V!$L:$L,0)),"")</f>
        <v>129</v>
      </c>
      <c r="AF15" s="460" t="str">
        <f t="shared" si="1"/>
        <v>Jaan Saar</v>
      </c>
      <c r="AG15" s="459">
        <f>IFERROR(INDEX(V!$R:$R,MATCH(AH15,V!$L:$L,0)),"")</f>
        <v>13</v>
      </c>
      <c r="AH15" s="460" t="str">
        <f t="shared" si="2"/>
        <v>Liidia Põllu</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507</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137</v>
      </c>
      <c r="AE16" s="459">
        <f>IFERROR(INDEX(V!$R:$R,MATCH(AF16,V!$L:$L,0)),"")</f>
        <v>75</v>
      </c>
      <c r="AF16" s="460" t="str">
        <f t="shared" si="1"/>
        <v>Enn Tokman</v>
      </c>
      <c r="AG16" s="459">
        <f>IFERROR(INDEX(V!$R:$R,MATCH(AH16,V!$L:$L,0)),"")</f>
        <v>62</v>
      </c>
      <c r="AH16" s="460" t="str">
        <f t="shared" si="2"/>
        <v>Sirje Maala</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489</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186</v>
      </c>
      <c r="AE17" s="459">
        <f>IFERROR(INDEX(V!$R:$R,MATCH(AF17,V!$L:$L,0)),"")</f>
        <v>94</v>
      </c>
      <c r="AF17" s="460" t="str">
        <f t="shared" si="1"/>
        <v>Lemmit Toomra</v>
      </c>
      <c r="AG17" s="459">
        <f>IFERROR(INDEX(V!$R:$R,MATCH(AH17,V!$L:$L,0)),"")</f>
        <v>92</v>
      </c>
      <c r="AH17" s="460" t="str">
        <f t="shared" si="2"/>
        <v>Tõnu Kapper</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x14ac:dyDescent="0.2">
      <c r="A18" s="435">
        <v>11</v>
      </c>
      <c r="B18" s="446" t="s">
        <v>338</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7"/>
        <v>0</v>
      </c>
      <c r="X18" s="442"/>
      <c r="Y18" s="437">
        <f t="shared" si="8"/>
        <v>0</v>
      </c>
      <c r="Z18" s="438" t="s">
        <v>246</v>
      </c>
      <c r="AA18" s="443">
        <f t="shared" si="9"/>
        <v>0</v>
      </c>
      <c r="AB18" s="444">
        <f t="shared" si="10"/>
        <v>0</v>
      </c>
      <c r="AC18" s="445"/>
      <c r="AD18" s="458">
        <f t="shared" si="0"/>
        <v>146</v>
      </c>
      <c r="AE18" s="459">
        <f>IFERROR(INDEX(V!$R:$R,MATCH(AF18,V!$L:$L,0)),"")</f>
        <v>73</v>
      </c>
      <c r="AF18" s="460" t="str">
        <f t="shared" si="1"/>
        <v>Ljudmila Varendi</v>
      </c>
      <c r="AG18" s="459">
        <f>IFERROR(INDEX(V!$R:$R,MATCH(AH18,V!$L:$L,0)),"")</f>
        <v>73</v>
      </c>
      <c r="AH18" s="460" t="str">
        <f t="shared" si="2"/>
        <v>Viktor Švarõgin</v>
      </c>
      <c r="AI18" s="459" t="str">
        <f>IFERROR(INDEX(V!$R:$R,MATCH(AJ18,V!$L:$L,0)),"")</f>
        <v/>
      </c>
      <c r="AJ18" s="460" t="str">
        <f t="shared" si="3"/>
        <v/>
      </c>
      <c r="AK18" s="459" t="str">
        <f>IFERROR(INDEX(V!$R:$R,MATCH(AL18,V!$L:$L,0)),"")</f>
        <v/>
      </c>
      <c r="AL18" s="460" t="str">
        <f t="shared" si="4"/>
        <v/>
      </c>
      <c r="AM18" s="459" t="str">
        <f>IFERROR(INDEX(V!$R:$R,MATCH(AN18,V!$L:$L,0)),"")</f>
        <v/>
      </c>
      <c r="AN18" s="460" t="str">
        <f t="shared" si="5"/>
        <v/>
      </c>
      <c r="AO18" s="459" t="str">
        <f>IFERROR(INDEX(V!$R:$R,MATCH(AP18,V!$L:$L,0)),"")</f>
        <v/>
      </c>
      <c r="AP18" s="460" t="str">
        <f t="shared" si="6"/>
        <v/>
      </c>
    </row>
    <row r="19" spans="1:42" x14ac:dyDescent="0.2">
      <c r="A19" s="435">
        <v>12</v>
      </c>
      <c r="B19" s="446" t="s">
        <v>504</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7"/>
        <v>0</v>
      </c>
      <c r="X19" s="442"/>
      <c r="Y19" s="437">
        <f t="shared" si="8"/>
        <v>0</v>
      </c>
      <c r="Z19" s="438" t="s">
        <v>246</v>
      </c>
      <c r="AA19" s="443">
        <f t="shared" si="9"/>
        <v>0</v>
      </c>
      <c r="AB19" s="444">
        <f t="shared" si="10"/>
        <v>0</v>
      </c>
      <c r="AC19" s="445"/>
      <c r="AD19" s="458">
        <f t="shared" ref="AD19:AD82" si="11">SUM(AE19:AP19)</f>
        <v>256</v>
      </c>
      <c r="AE19" s="459">
        <f>IFERROR(INDEX(V!$R:$R,MATCH(AF19,V!$L:$L,0)),"")</f>
        <v>139</v>
      </c>
      <c r="AF19" s="460" t="str">
        <f t="shared" si="1"/>
        <v>Kaspar Mänd</v>
      </c>
      <c r="AG19" s="459">
        <f>IFERROR(INDEX(V!$R:$R,MATCH(AH19,V!$L:$L,0)),"")</f>
        <v>117</v>
      </c>
      <c r="AH19" s="460" t="str">
        <f t="shared" si="2"/>
        <v>Oleg Rõndenkov</v>
      </c>
      <c r="AI19" s="459" t="str">
        <f>IFERROR(INDEX(V!$R:$R,MATCH(AJ19,V!$L:$L,0)),"")</f>
        <v/>
      </c>
      <c r="AJ19" s="460" t="str">
        <f t="shared" si="3"/>
        <v/>
      </c>
      <c r="AK19" s="459" t="str">
        <f>IFERROR(INDEX(V!$R:$R,MATCH(AL19,V!$L:$L,0)),"")</f>
        <v/>
      </c>
      <c r="AL19" s="460" t="str">
        <f t="shared" si="4"/>
        <v/>
      </c>
      <c r="AM19" s="459" t="str">
        <f>IFERROR(INDEX(V!$R:$R,MATCH(AN19,V!$L:$L,0)),"")</f>
        <v/>
      </c>
      <c r="AN19" s="460" t="str">
        <f t="shared" si="5"/>
        <v/>
      </c>
      <c r="AO19" s="459" t="str">
        <f>IFERROR(INDEX(V!$R:$R,MATCH(AP19,V!$L:$L,0)),"")</f>
        <v/>
      </c>
      <c r="AP19" s="460" t="str">
        <f t="shared" si="6"/>
        <v/>
      </c>
    </row>
    <row r="20" spans="1:42" x14ac:dyDescent="0.2">
      <c r="A20" s="435">
        <v>13</v>
      </c>
      <c r="B20" s="436" t="s">
        <v>508</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7"/>
        <v>0</v>
      </c>
      <c r="X20" s="442"/>
      <c r="Y20" s="437">
        <f t="shared" si="8"/>
        <v>0</v>
      </c>
      <c r="Z20" s="438" t="s">
        <v>246</v>
      </c>
      <c r="AA20" s="443">
        <f t="shared" si="9"/>
        <v>0</v>
      </c>
      <c r="AB20" s="444">
        <f t="shared" si="10"/>
        <v>0</v>
      </c>
      <c r="AC20" s="445"/>
      <c r="AD20" s="458">
        <f t="shared" si="11"/>
        <v>16</v>
      </c>
      <c r="AE20" s="459">
        <f>IFERROR(INDEX(V!$R:$R,MATCH(AF20,V!$L:$L,0)),"")</f>
        <v>8</v>
      </c>
      <c r="AF20" s="460" t="str">
        <f t="shared" si="1"/>
        <v>Hardi Ahman</v>
      </c>
      <c r="AG20" s="459">
        <f>IFERROR(INDEX(V!$R:$R,MATCH(AH20,V!$L:$L,0)),"")</f>
        <v>8</v>
      </c>
      <c r="AH20" s="460" t="str">
        <f t="shared" si="2"/>
        <v>Joana Taalberg</v>
      </c>
      <c r="AI20" s="459" t="str">
        <f>IFERROR(INDEX(V!$R:$R,MATCH(AJ20,V!$L:$L,0)),"")</f>
        <v/>
      </c>
      <c r="AJ20" s="460" t="str">
        <f t="shared" si="3"/>
        <v/>
      </c>
      <c r="AK20" s="459" t="str">
        <f>IFERROR(INDEX(V!$R:$R,MATCH(AL20,V!$L:$L,0)),"")</f>
        <v/>
      </c>
      <c r="AL20" s="460" t="str">
        <f t="shared" si="4"/>
        <v/>
      </c>
      <c r="AM20" s="459" t="str">
        <f>IFERROR(INDEX(V!$R:$R,MATCH(AN20,V!$L:$L,0)),"")</f>
        <v/>
      </c>
      <c r="AN20" s="460" t="str">
        <f t="shared" si="5"/>
        <v/>
      </c>
      <c r="AO20" s="459" t="str">
        <f>IFERROR(INDEX(V!$R:$R,MATCH(AP20,V!$L:$L,0)),"")</f>
        <v/>
      </c>
      <c r="AP20" s="460" t="str">
        <f t="shared" si="6"/>
        <v/>
      </c>
    </row>
    <row r="21" spans="1:42" x14ac:dyDescent="0.2">
      <c r="A21" s="435">
        <v>14</v>
      </c>
      <c r="B21" s="446" t="s">
        <v>509</v>
      </c>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7"/>
        <v>0</v>
      </c>
      <c r="X21" s="442"/>
      <c r="Y21" s="437">
        <f t="shared" si="8"/>
        <v>0</v>
      </c>
      <c r="Z21" s="438" t="s">
        <v>246</v>
      </c>
      <c r="AA21" s="443">
        <f t="shared" si="9"/>
        <v>0</v>
      </c>
      <c r="AB21" s="444">
        <f t="shared" si="10"/>
        <v>0</v>
      </c>
      <c r="AC21" s="445"/>
      <c r="AD21" s="458">
        <f t="shared" si="11"/>
        <v>127</v>
      </c>
      <c r="AE21" s="459">
        <f>IFERROR(INDEX(V!$R:$R,MATCH(AF21,V!$L:$L,0)),"")</f>
        <v>52</v>
      </c>
      <c r="AF21" s="460" t="str">
        <f t="shared" si="1"/>
        <v>Illar Tõnurist</v>
      </c>
      <c r="AG21" s="459" t="str">
        <f>IFERROR(INDEX(V!$R:$R,MATCH(AH21,V!$L:$L,0)),"")</f>
        <v/>
      </c>
      <c r="AH21" s="460" t="str">
        <f t="shared" si="2"/>
        <v>Peeter Rjabov, Tarmo Bombe</v>
      </c>
      <c r="AI21" s="459">
        <f>IFERROR(INDEX(V!$R:$R,MATCH(AJ21,V!$L:$L,0)),"")</f>
        <v>7</v>
      </c>
      <c r="AJ21" s="460" t="str">
        <f t="shared" si="3"/>
        <v>Peeter Rjabov</v>
      </c>
      <c r="AK21" s="459">
        <f>IFERROR(INDEX(V!$R:$R,MATCH(AL21,V!$L:$L,0)),"")</f>
        <v>68</v>
      </c>
      <c r="AL21" s="460" t="str">
        <f t="shared" si="4"/>
        <v>Tarmo Bombe</v>
      </c>
      <c r="AM21" s="459" t="str">
        <f>IFERROR(INDEX(V!$R:$R,MATCH(AN21,V!$L:$L,0)),"")</f>
        <v/>
      </c>
      <c r="AN21" s="460" t="str">
        <f t="shared" si="5"/>
        <v/>
      </c>
      <c r="AO21" s="459" t="str">
        <f>IFERROR(INDEX(V!$R:$R,MATCH(AP21,V!$L:$L,0)),"")</f>
        <v/>
      </c>
      <c r="AP21" s="460" t="str">
        <f t="shared" si="6"/>
        <v/>
      </c>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58">
        <f t="shared" si="11"/>
        <v>0</v>
      </c>
      <c r="AE22" s="459" t="str">
        <f>IFERROR(INDEX(V!$R:$R,MATCH(AF22,V!$L:$L,0)),"")</f>
        <v/>
      </c>
      <c r="AF22" s="460" t="str">
        <f t="shared" si="1"/>
        <v/>
      </c>
      <c r="AG22" s="459" t="str">
        <f>IFERROR(INDEX(V!$R:$R,MATCH(AH22,V!$L:$L,0)),"")</f>
        <v/>
      </c>
      <c r="AH22" s="460" t="str">
        <f t="shared" si="2"/>
        <v/>
      </c>
      <c r="AI22" s="459" t="str">
        <f>IFERROR(INDEX(V!$R:$R,MATCH(AJ22,V!$L:$L,0)),"")</f>
        <v/>
      </c>
      <c r="AJ22" s="460" t="str">
        <f t="shared" si="3"/>
        <v/>
      </c>
      <c r="AK22" s="459" t="str">
        <f>IFERROR(INDEX(V!$R:$R,MATCH(AL22,V!$L:$L,0)),"")</f>
        <v/>
      </c>
      <c r="AL22" s="460" t="str">
        <f t="shared" si="4"/>
        <v/>
      </c>
      <c r="AM22" s="459" t="str">
        <f>IFERROR(INDEX(V!$R:$R,MATCH(AN22,V!$L:$L,0)),"")</f>
        <v/>
      </c>
      <c r="AN22" s="460" t="str">
        <f t="shared" si="5"/>
        <v/>
      </c>
      <c r="AO22" s="459" t="str">
        <f>IFERROR(INDEX(V!$R:$R,MATCH(AP22,V!$L:$L,0)),"")</f>
        <v/>
      </c>
      <c r="AP22" s="460" t="str">
        <f t="shared" si="6"/>
        <v/>
      </c>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58">
        <f t="shared" si="11"/>
        <v>0</v>
      </c>
      <c r="AE23" s="459" t="str">
        <f>IFERROR(INDEX(V!$R:$R,MATCH(AF23,V!$L:$L,0)),"")</f>
        <v/>
      </c>
      <c r="AF23" s="460" t="str">
        <f t="shared" si="1"/>
        <v/>
      </c>
      <c r="AG23" s="459" t="str">
        <f>IFERROR(INDEX(V!$R:$R,MATCH(AH23,V!$L:$L,0)),"")</f>
        <v/>
      </c>
      <c r="AH23" s="460" t="str">
        <f t="shared" si="2"/>
        <v/>
      </c>
      <c r="AI23" s="459" t="str">
        <f>IFERROR(INDEX(V!$R:$R,MATCH(AJ23,V!$L:$L,0)),"")</f>
        <v/>
      </c>
      <c r="AJ23" s="460" t="str">
        <f t="shared" si="3"/>
        <v/>
      </c>
      <c r="AK23" s="459" t="str">
        <f>IFERROR(INDEX(V!$R:$R,MATCH(AL23,V!$L:$L,0)),"")</f>
        <v/>
      </c>
      <c r="AL23" s="460" t="str">
        <f t="shared" si="4"/>
        <v/>
      </c>
      <c r="AM23" s="459" t="str">
        <f>IFERROR(INDEX(V!$R:$R,MATCH(AN23,V!$L:$L,0)),"")</f>
        <v/>
      </c>
      <c r="AN23" s="460" t="str">
        <f t="shared" si="5"/>
        <v/>
      </c>
      <c r="AO23" s="459" t="str">
        <f>IFERROR(INDEX(V!$R:$R,MATCH(AP23,V!$L:$L,0)),"")</f>
        <v/>
      </c>
      <c r="AP23" s="460" t="str">
        <f t="shared" si="6"/>
        <v/>
      </c>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58">
        <f t="shared" si="11"/>
        <v>0</v>
      </c>
      <c r="AE24" s="459" t="str">
        <f>IFERROR(INDEX(V!$R:$R,MATCH(AF24,V!$L:$L,0)),"")</f>
        <v/>
      </c>
      <c r="AF24" s="460" t="str">
        <f t="shared" si="1"/>
        <v/>
      </c>
      <c r="AG24" s="459" t="str">
        <f>IFERROR(INDEX(V!$R:$R,MATCH(AH24,V!$L:$L,0)),"")</f>
        <v/>
      </c>
      <c r="AH24" s="460" t="str">
        <f t="shared" si="2"/>
        <v/>
      </c>
      <c r="AI24" s="459" t="str">
        <f>IFERROR(INDEX(V!$R:$R,MATCH(AJ24,V!$L:$L,0)),"")</f>
        <v/>
      </c>
      <c r="AJ24" s="460" t="str">
        <f t="shared" si="3"/>
        <v/>
      </c>
      <c r="AK24" s="459" t="str">
        <f>IFERROR(INDEX(V!$R:$R,MATCH(AL24,V!$L:$L,0)),"")</f>
        <v/>
      </c>
      <c r="AL24" s="460" t="str">
        <f t="shared" si="4"/>
        <v/>
      </c>
      <c r="AM24" s="459" t="str">
        <f>IFERROR(INDEX(V!$R:$R,MATCH(AN24,V!$L:$L,0)),"")</f>
        <v/>
      </c>
      <c r="AN24" s="460" t="str">
        <f t="shared" si="5"/>
        <v/>
      </c>
      <c r="AO24" s="459" t="str">
        <f>IFERROR(INDEX(V!$R:$R,MATCH(AP24,V!$L:$L,0)),"")</f>
        <v/>
      </c>
      <c r="AP24" s="460" t="str">
        <f t="shared" si="6"/>
        <v/>
      </c>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58">
        <f t="shared" si="11"/>
        <v>0</v>
      </c>
      <c r="AE25" s="459" t="str">
        <f>IFERROR(INDEX(V!$R:$R,MATCH(AF25,V!$L:$L,0)),"")</f>
        <v/>
      </c>
      <c r="AF25" s="460" t="str">
        <f t="shared" si="1"/>
        <v/>
      </c>
      <c r="AG25" s="459" t="str">
        <f>IFERROR(INDEX(V!$R:$R,MATCH(AH25,V!$L:$L,0)),"")</f>
        <v/>
      </c>
      <c r="AH25" s="460" t="str">
        <f t="shared" si="2"/>
        <v/>
      </c>
      <c r="AI25" s="459" t="str">
        <f>IFERROR(INDEX(V!$R:$R,MATCH(AJ25,V!$L:$L,0)),"")</f>
        <v/>
      </c>
      <c r="AJ25" s="460" t="str">
        <f t="shared" si="3"/>
        <v/>
      </c>
      <c r="AK25" s="459" t="str">
        <f>IFERROR(INDEX(V!$R:$R,MATCH(AL25,V!$L:$L,0)),"")</f>
        <v/>
      </c>
      <c r="AL25" s="460" t="str">
        <f t="shared" si="4"/>
        <v/>
      </c>
      <c r="AM25" s="459" t="str">
        <f>IFERROR(INDEX(V!$R:$R,MATCH(AN25,V!$L:$L,0)),"")</f>
        <v/>
      </c>
      <c r="AN25" s="460" t="str">
        <f t="shared" si="5"/>
        <v/>
      </c>
      <c r="AO25" s="459" t="str">
        <f>IFERROR(INDEX(V!$R:$R,MATCH(AP25,V!$L:$L,0)),"")</f>
        <v/>
      </c>
      <c r="AP25" s="460" t="str">
        <f t="shared" si="6"/>
        <v/>
      </c>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58">
        <f t="shared" si="11"/>
        <v>0</v>
      </c>
      <c r="AE26" s="459" t="str">
        <f>IFERROR(INDEX(V!$R:$R,MATCH(AF26,V!$L:$L,0)),"")</f>
        <v/>
      </c>
      <c r="AF26" s="460" t="str">
        <f t="shared" si="1"/>
        <v/>
      </c>
      <c r="AG26" s="459" t="str">
        <f>IFERROR(INDEX(V!$R:$R,MATCH(AH26,V!$L:$L,0)),"")</f>
        <v/>
      </c>
      <c r="AH26" s="460" t="str">
        <f t="shared" si="2"/>
        <v/>
      </c>
      <c r="AI26" s="459" t="str">
        <f>IFERROR(INDEX(V!$R:$R,MATCH(AJ26,V!$L:$L,0)),"")</f>
        <v/>
      </c>
      <c r="AJ26" s="460" t="str">
        <f t="shared" si="3"/>
        <v/>
      </c>
      <c r="AK26" s="459" t="str">
        <f>IFERROR(INDEX(V!$R:$R,MATCH(AL26,V!$L:$L,0)),"")</f>
        <v/>
      </c>
      <c r="AL26" s="460" t="str">
        <f t="shared" si="4"/>
        <v/>
      </c>
      <c r="AM26" s="459" t="str">
        <f>IFERROR(INDEX(V!$R:$R,MATCH(AN26,V!$L:$L,0)),"")</f>
        <v/>
      </c>
      <c r="AN26" s="460" t="str">
        <f t="shared" si="5"/>
        <v/>
      </c>
      <c r="AO26" s="459" t="str">
        <f>IFERROR(INDEX(V!$R:$R,MATCH(AP26,V!$L:$L,0)),"")</f>
        <v/>
      </c>
      <c r="AP26" s="460" t="str">
        <f t="shared" si="6"/>
        <v/>
      </c>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58">
        <f t="shared" si="11"/>
        <v>0</v>
      </c>
      <c r="AE27" s="459" t="str">
        <f>IFERROR(INDEX(V!$R:$R,MATCH(AF27,V!$L:$L,0)),"")</f>
        <v/>
      </c>
      <c r="AF27" s="460" t="str">
        <f t="shared" si="1"/>
        <v/>
      </c>
      <c r="AG27" s="459" t="str">
        <f>IFERROR(INDEX(V!$R:$R,MATCH(AH27,V!$L:$L,0)),"")</f>
        <v/>
      </c>
      <c r="AH27" s="460" t="str">
        <f t="shared" si="2"/>
        <v/>
      </c>
      <c r="AI27" s="459" t="str">
        <f>IFERROR(INDEX(V!$R:$R,MATCH(AJ27,V!$L:$L,0)),"")</f>
        <v/>
      </c>
      <c r="AJ27" s="460" t="str">
        <f t="shared" si="3"/>
        <v/>
      </c>
      <c r="AK27" s="459" t="str">
        <f>IFERROR(INDEX(V!$R:$R,MATCH(AL27,V!$L:$L,0)),"")</f>
        <v/>
      </c>
      <c r="AL27" s="460" t="str">
        <f t="shared" si="4"/>
        <v/>
      </c>
      <c r="AM27" s="459" t="str">
        <f>IFERROR(INDEX(V!$R:$R,MATCH(AN27,V!$L:$L,0)),"")</f>
        <v/>
      </c>
      <c r="AN27" s="460" t="str">
        <f t="shared" si="5"/>
        <v/>
      </c>
      <c r="AO27" s="459" t="str">
        <f>IFERROR(INDEX(V!$R:$R,MATCH(AP27,V!$L:$L,0)),"")</f>
        <v/>
      </c>
      <c r="AP27" s="460" t="str">
        <f t="shared" si="6"/>
        <v/>
      </c>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58">
        <f t="shared" si="11"/>
        <v>0</v>
      </c>
      <c r="AE28" s="459" t="str">
        <f>IFERROR(INDEX(V!$R:$R,MATCH(AF28,V!$L:$L,0)),"")</f>
        <v/>
      </c>
      <c r="AF28" s="460" t="str">
        <f t="shared" si="1"/>
        <v/>
      </c>
      <c r="AG28" s="459" t="str">
        <f>IFERROR(INDEX(V!$R:$R,MATCH(AH28,V!$L:$L,0)),"")</f>
        <v/>
      </c>
      <c r="AH28" s="460" t="str">
        <f t="shared" si="2"/>
        <v/>
      </c>
      <c r="AI28" s="459" t="str">
        <f>IFERROR(INDEX(V!$R:$R,MATCH(AJ28,V!$L:$L,0)),"")</f>
        <v/>
      </c>
      <c r="AJ28" s="460" t="str">
        <f t="shared" si="3"/>
        <v/>
      </c>
      <c r="AK28" s="459" t="str">
        <f>IFERROR(INDEX(V!$R:$R,MATCH(AL28,V!$L:$L,0)),"")</f>
        <v/>
      </c>
      <c r="AL28" s="460" t="str">
        <f t="shared" si="4"/>
        <v/>
      </c>
      <c r="AM28" s="459" t="str">
        <f>IFERROR(INDEX(V!$R:$R,MATCH(AN28,V!$L:$L,0)),"")</f>
        <v/>
      </c>
      <c r="AN28" s="460" t="str">
        <f t="shared" si="5"/>
        <v/>
      </c>
      <c r="AO28" s="459" t="str">
        <f>IFERROR(INDEX(V!$R:$R,MATCH(AP28,V!$L:$L,0)),"")</f>
        <v/>
      </c>
      <c r="AP28" s="460" t="str">
        <f t="shared" si="6"/>
        <v/>
      </c>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58">
        <f t="shared" si="11"/>
        <v>0</v>
      </c>
      <c r="AE29" s="459" t="str">
        <f>IFERROR(INDEX(V!$R:$R,MATCH(AF29,V!$L:$L,0)),"")</f>
        <v/>
      </c>
      <c r="AF29" s="460" t="str">
        <f t="shared" si="1"/>
        <v/>
      </c>
      <c r="AG29" s="459" t="str">
        <f>IFERROR(INDEX(V!$R:$R,MATCH(AH29,V!$L:$L,0)),"")</f>
        <v/>
      </c>
      <c r="AH29" s="460" t="str">
        <f t="shared" si="2"/>
        <v/>
      </c>
      <c r="AI29" s="459" t="str">
        <f>IFERROR(INDEX(V!$R:$R,MATCH(AJ29,V!$L:$L,0)),"")</f>
        <v/>
      </c>
      <c r="AJ29" s="460" t="str">
        <f t="shared" si="3"/>
        <v/>
      </c>
      <c r="AK29" s="459" t="str">
        <f>IFERROR(INDEX(V!$R:$R,MATCH(AL29,V!$L:$L,0)),"")</f>
        <v/>
      </c>
      <c r="AL29" s="460" t="str">
        <f t="shared" si="4"/>
        <v/>
      </c>
      <c r="AM29" s="459" t="str">
        <f>IFERROR(INDEX(V!$R:$R,MATCH(AN29,V!$L:$L,0)),"")</f>
        <v/>
      </c>
      <c r="AN29" s="460" t="str">
        <f t="shared" si="5"/>
        <v/>
      </c>
      <c r="AO29" s="459" t="str">
        <f>IFERROR(INDEX(V!$R:$R,MATCH(AP29,V!$L:$L,0)),"")</f>
        <v/>
      </c>
      <c r="AP29" s="460" t="str">
        <f t="shared" si="6"/>
        <v/>
      </c>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58">
        <f t="shared" si="11"/>
        <v>0</v>
      </c>
      <c r="AE30" s="459" t="str">
        <f>IFERROR(INDEX(V!$R:$R,MATCH(AF30,V!$L:$L,0)),"")</f>
        <v/>
      </c>
      <c r="AF30" s="460" t="str">
        <f t="shared" si="1"/>
        <v/>
      </c>
      <c r="AG30" s="459" t="str">
        <f>IFERROR(INDEX(V!$R:$R,MATCH(AH30,V!$L:$L,0)),"")</f>
        <v/>
      </c>
      <c r="AH30" s="460" t="str">
        <f t="shared" si="2"/>
        <v/>
      </c>
      <c r="AI30" s="459" t="str">
        <f>IFERROR(INDEX(V!$R:$R,MATCH(AJ30,V!$L:$L,0)),"")</f>
        <v/>
      </c>
      <c r="AJ30" s="460" t="str">
        <f t="shared" si="3"/>
        <v/>
      </c>
      <c r="AK30" s="459" t="str">
        <f>IFERROR(INDEX(V!$R:$R,MATCH(AL30,V!$L:$L,0)),"")</f>
        <v/>
      </c>
      <c r="AL30" s="460" t="str">
        <f t="shared" si="4"/>
        <v/>
      </c>
      <c r="AM30" s="459" t="str">
        <f>IFERROR(INDEX(V!$R:$R,MATCH(AN30,V!$L:$L,0)),"")</f>
        <v/>
      </c>
      <c r="AN30" s="460" t="str">
        <f t="shared" si="5"/>
        <v/>
      </c>
      <c r="AO30" s="459" t="str">
        <f>IFERROR(INDEX(V!$R:$R,MATCH(AP30,V!$L:$L,0)),"")</f>
        <v/>
      </c>
      <c r="AP30" s="460" t="str">
        <f t="shared" si="6"/>
        <v/>
      </c>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58">
        <f t="shared" si="11"/>
        <v>0</v>
      </c>
      <c r="AE31" s="459" t="str">
        <f>IFERROR(INDEX(V!$R:$R,MATCH(AF31,V!$L:$L,0)),"")</f>
        <v/>
      </c>
      <c r="AF31" s="460" t="str">
        <f t="shared" si="1"/>
        <v/>
      </c>
      <c r="AG31" s="459" t="str">
        <f>IFERROR(INDEX(V!$R:$R,MATCH(AH31,V!$L:$L,0)),"")</f>
        <v/>
      </c>
      <c r="AH31" s="460" t="str">
        <f t="shared" si="2"/>
        <v/>
      </c>
      <c r="AI31" s="459" t="str">
        <f>IFERROR(INDEX(V!$R:$R,MATCH(AJ31,V!$L:$L,0)),"")</f>
        <v/>
      </c>
      <c r="AJ31" s="460" t="str">
        <f t="shared" si="3"/>
        <v/>
      </c>
      <c r="AK31" s="459" t="str">
        <f>IFERROR(INDEX(V!$R:$R,MATCH(AL31,V!$L:$L,0)),"")</f>
        <v/>
      </c>
      <c r="AL31" s="460" t="str">
        <f t="shared" si="4"/>
        <v/>
      </c>
      <c r="AM31" s="459" t="str">
        <f>IFERROR(INDEX(V!$R:$R,MATCH(AN31,V!$L:$L,0)),"")</f>
        <v/>
      </c>
      <c r="AN31" s="460" t="str">
        <f t="shared" si="5"/>
        <v/>
      </c>
      <c r="AO31" s="459" t="str">
        <f>IFERROR(INDEX(V!$R:$R,MATCH(AP31,V!$L:$L,0)),"")</f>
        <v/>
      </c>
      <c r="AP31" s="460" t="str">
        <f t="shared" si="6"/>
        <v/>
      </c>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58">
        <f t="shared" si="11"/>
        <v>0</v>
      </c>
      <c r="AE32" s="459" t="str">
        <f>IFERROR(INDEX(V!$R:$R,MATCH(AF32,V!$L:$L,0)),"")</f>
        <v/>
      </c>
      <c r="AF32" s="460" t="str">
        <f t="shared" si="1"/>
        <v/>
      </c>
      <c r="AG32" s="459" t="str">
        <f>IFERROR(INDEX(V!$R:$R,MATCH(AH32,V!$L:$L,0)),"")</f>
        <v/>
      </c>
      <c r="AH32" s="460" t="str">
        <f t="shared" si="2"/>
        <v/>
      </c>
      <c r="AI32" s="459" t="str">
        <f>IFERROR(INDEX(V!$R:$R,MATCH(AJ32,V!$L:$L,0)),"")</f>
        <v/>
      </c>
      <c r="AJ32" s="460" t="str">
        <f t="shared" si="3"/>
        <v/>
      </c>
      <c r="AK32" s="459" t="str">
        <f>IFERROR(INDEX(V!$R:$R,MATCH(AL32,V!$L:$L,0)),"")</f>
        <v/>
      </c>
      <c r="AL32" s="460" t="str">
        <f t="shared" si="4"/>
        <v/>
      </c>
      <c r="AM32" s="459" t="str">
        <f>IFERROR(INDEX(V!$R:$R,MATCH(AN32,V!$L:$L,0)),"")</f>
        <v/>
      </c>
      <c r="AN32" s="460" t="str">
        <f t="shared" si="5"/>
        <v/>
      </c>
      <c r="AO32" s="459" t="str">
        <f>IFERROR(INDEX(V!$R:$R,MATCH(AP32,V!$L:$L,0)),"")</f>
        <v/>
      </c>
      <c r="AP32" s="460" t="str">
        <f t="shared" si="6"/>
        <v/>
      </c>
    </row>
    <row r="33" spans="1:42"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58">
        <f t="shared" si="11"/>
        <v>0</v>
      </c>
      <c r="AE33" s="459" t="str">
        <f>IFERROR(INDEX(V!$R:$R,MATCH(AF33,V!$L:$L,0)),"")</f>
        <v/>
      </c>
      <c r="AF33" s="460" t="str">
        <f t="shared" si="1"/>
        <v/>
      </c>
      <c r="AG33" s="459" t="str">
        <f>IFERROR(INDEX(V!$R:$R,MATCH(AH33,V!$L:$L,0)),"")</f>
        <v/>
      </c>
      <c r="AH33" s="460" t="str">
        <f t="shared" si="2"/>
        <v/>
      </c>
      <c r="AI33" s="459" t="str">
        <f>IFERROR(INDEX(V!$R:$R,MATCH(AJ33,V!$L:$L,0)),"")</f>
        <v/>
      </c>
      <c r="AJ33" s="460" t="str">
        <f t="shared" si="3"/>
        <v/>
      </c>
      <c r="AK33" s="459" t="str">
        <f>IFERROR(INDEX(V!$R:$R,MATCH(AL33,V!$L:$L,0)),"")</f>
        <v/>
      </c>
      <c r="AL33" s="460" t="str">
        <f t="shared" si="4"/>
        <v/>
      </c>
      <c r="AM33" s="459" t="str">
        <f>IFERROR(INDEX(V!$R:$R,MATCH(AN33,V!$L:$L,0)),"")</f>
        <v/>
      </c>
      <c r="AN33" s="460" t="str">
        <f t="shared" si="5"/>
        <v/>
      </c>
      <c r="AO33" s="459" t="str">
        <f>IFERROR(INDEX(V!$R:$R,MATCH(AP33,V!$L:$L,0)),"")</f>
        <v/>
      </c>
      <c r="AP33" s="460" t="str">
        <f t="shared" si="6"/>
        <v/>
      </c>
    </row>
    <row r="34" spans="1:42"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58">
        <f t="shared" si="11"/>
        <v>0</v>
      </c>
      <c r="AE34" s="459" t="str">
        <f>IFERROR(INDEX(V!$R:$R,MATCH(AF34,V!$L:$L,0)),"")</f>
        <v/>
      </c>
      <c r="AF34" s="460" t="str">
        <f t="shared" si="1"/>
        <v/>
      </c>
      <c r="AG34" s="459" t="str">
        <f>IFERROR(INDEX(V!$R:$R,MATCH(AH34,V!$L:$L,0)),"")</f>
        <v/>
      </c>
      <c r="AH34" s="460" t="str">
        <f t="shared" si="2"/>
        <v/>
      </c>
      <c r="AI34" s="459" t="str">
        <f>IFERROR(INDEX(V!$R:$R,MATCH(AJ34,V!$L:$L,0)),"")</f>
        <v/>
      </c>
      <c r="AJ34" s="460" t="str">
        <f t="shared" si="3"/>
        <v/>
      </c>
      <c r="AK34" s="459" t="str">
        <f>IFERROR(INDEX(V!$R:$R,MATCH(AL34,V!$L:$L,0)),"")</f>
        <v/>
      </c>
      <c r="AL34" s="460" t="str">
        <f t="shared" si="4"/>
        <v/>
      </c>
      <c r="AM34" s="459" t="str">
        <f>IFERROR(INDEX(V!$R:$R,MATCH(AN34,V!$L:$L,0)),"")</f>
        <v/>
      </c>
      <c r="AN34" s="460" t="str">
        <f t="shared" si="5"/>
        <v/>
      </c>
      <c r="AO34" s="459" t="str">
        <f>IFERROR(INDEX(V!$R:$R,MATCH(AP34,V!$L:$L,0)),"")</f>
        <v/>
      </c>
      <c r="AP34" s="460" t="str">
        <f t="shared" si="6"/>
        <v/>
      </c>
    </row>
    <row r="35" spans="1:42"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58">
        <f t="shared" si="11"/>
        <v>0</v>
      </c>
      <c r="AE35" s="459" t="str">
        <f>IFERROR(INDEX(V!$R:$R,MATCH(AF35,V!$L:$L,0)),"")</f>
        <v/>
      </c>
      <c r="AF35" s="460" t="str">
        <f t="shared" si="1"/>
        <v/>
      </c>
      <c r="AG35" s="459" t="str">
        <f>IFERROR(INDEX(V!$R:$R,MATCH(AH35,V!$L:$L,0)),"")</f>
        <v/>
      </c>
      <c r="AH35" s="460" t="str">
        <f t="shared" si="2"/>
        <v/>
      </c>
      <c r="AI35" s="459" t="str">
        <f>IFERROR(INDEX(V!$R:$R,MATCH(AJ35,V!$L:$L,0)),"")</f>
        <v/>
      </c>
      <c r="AJ35" s="460" t="str">
        <f t="shared" si="3"/>
        <v/>
      </c>
      <c r="AK35" s="459" t="str">
        <f>IFERROR(INDEX(V!$R:$R,MATCH(AL35,V!$L:$L,0)),"")</f>
        <v/>
      </c>
      <c r="AL35" s="460" t="str">
        <f t="shared" si="4"/>
        <v/>
      </c>
      <c r="AM35" s="459" t="str">
        <f>IFERROR(INDEX(V!$R:$R,MATCH(AN35,V!$L:$L,0)),"")</f>
        <v/>
      </c>
      <c r="AN35" s="460" t="str">
        <f t="shared" si="5"/>
        <v/>
      </c>
      <c r="AO35" s="459" t="str">
        <f>IFERROR(INDEX(V!$R:$R,MATCH(AP35,V!$L:$L,0)),"")</f>
        <v/>
      </c>
      <c r="AP35" s="460" t="str">
        <f t="shared" si="6"/>
        <v/>
      </c>
    </row>
    <row r="36" spans="1:42"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58">
        <f t="shared" si="11"/>
        <v>0</v>
      </c>
      <c r="AE36" s="459" t="str">
        <f>IFERROR(INDEX(V!$R:$R,MATCH(AF36,V!$L:$L,0)),"")</f>
        <v/>
      </c>
      <c r="AF36" s="460" t="str">
        <f t="shared" si="1"/>
        <v/>
      </c>
      <c r="AG36" s="459" t="str">
        <f>IFERROR(INDEX(V!$R:$R,MATCH(AH36,V!$L:$L,0)),"")</f>
        <v/>
      </c>
      <c r="AH36" s="460" t="str">
        <f t="shared" si="2"/>
        <v/>
      </c>
      <c r="AI36" s="459" t="str">
        <f>IFERROR(INDEX(V!$R:$R,MATCH(AJ36,V!$L:$L,0)),"")</f>
        <v/>
      </c>
      <c r="AJ36" s="460" t="str">
        <f t="shared" si="3"/>
        <v/>
      </c>
      <c r="AK36" s="459" t="str">
        <f>IFERROR(INDEX(V!$R:$R,MATCH(AL36,V!$L:$L,0)),"")</f>
        <v/>
      </c>
      <c r="AL36" s="460" t="str">
        <f t="shared" si="4"/>
        <v/>
      </c>
      <c r="AM36" s="459" t="str">
        <f>IFERROR(INDEX(V!$R:$R,MATCH(AN36,V!$L:$L,0)),"")</f>
        <v/>
      </c>
      <c r="AN36" s="460" t="str">
        <f t="shared" si="5"/>
        <v/>
      </c>
      <c r="AO36" s="459" t="str">
        <f>IFERROR(INDEX(V!$R:$R,MATCH(AP36,V!$L:$L,0)),"")</f>
        <v/>
      </c>
      <c r="AP36" s="460" t="str">
        <f t="shared" si="6"/>
        <v/>
      </c>
    </row>
    <row r="37" spans="1:42"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58">
        <f t="shared" si="11"/>
        <v>0</v>
      </c>
      <c r="AE37" s="459" t="str">
        <f>IFERROR(INDEX(V!$R:$R,MATCH(AF37,V!$L:$L,0)),"")</f>
        <v/>
      </c>
      <c r="AF37" s="460" t="str">
        <f t="shared" si="1"/>
        <v/>
      </c>
      <c r="AG37" s="459" t="str">
        <f>IFERROR(INDEX(V!$R:$R,MATCH(AH37,V!$L:$L,0)),"")</f>
        <v/>
      </c>
      <c r="AH37" s="460" t="str">
        <f t="shared" si="2"/>
        <v/>
      </c>
      <c r="AI37" s="459" t="str">
        <f>IFERROR(INDEX(V!$R:$R,MATCH(AJ37,V!$L:$L,0)),"")</f>
        <v/>
      </c>
      <c r="AJ37" s="460" t="str">
        <f t="shared" si="3"/>
        <v/>
      </c>
      <c r="AK37" s="459" t="str">
        <f>IFERROR(INDEX(V!$R:$R,MATCH(AL37,V!$L:$L,0)),"")</f>
        <v/>
      </c>
      <c r="AL37" s="460" t="str">
        <f t="shared" si="4"/>
        <v/>
      </c>
      <c r="AM37" s="459" t="str">
        <f>IFERROR(INDEX(V!$R:$R,MATCH(AN37,V!$L:$L,0)),"")</f>
        <v/>
      </c>
      <c r="AN37" s="460" t="str">
        <f t="shared" si="5"/>
        <v/>
      </c>
      <c r="AO37" s="459" t="str">
        <f>IFERROR(INDEX(V!$R:$R,MATCH(AP37,V!$L:$L,0)),"")</f>
        <v/>
      </c>
      <c r="AP37" s="460" t="str">
        <f t="shared" si="6"/>
        <v/>
      </c>
    </row>
    <row r="38" spans="1:42"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58">
        <f t="shared" si="11"/>
        <v>0</v>
      </c>
      <c r="AE38" s="459" t="str">
        <f>IFERROR(INDEX(V!$R:$R,MATCH(AF38,V!$L:$L,0)),"")</f>
        <v/>
      </c>
      <c r="AF38" s="460" t="str">
        <f t="shared" si="1"/>
        <v/>
      </c>
      <c r="AG38" s="459" t="str">
        <f>IFERROR(INDEX(V!$R:$R,MATCH(AH38,V!$L:$L,0)),"")</f>
        <v/>
      </c>
      <c r="AH38" s="460" t="str">
        <f t="shared" si="2"/>
        <v/>
      </c>
      <c r="AI38" s="459" t="str">
        <f>IFERROR(INDEX(V!$R:$R,MATCH(AJ38,V!$L:$L,0)),"")</f>
        <v/>
      </c>
      <c r="AJ38" s="460" t="str">
        <f t="shared" si="3"/>
        <v/>
      </c>
      <c r="AK38" s="459" t="str">
        <f>IFERROR(INDEX(V!$R:$R,MATCH(AL38,V!$L:$L,0)),"")</f>
        <v/>
      </c>
      <c r="AL38" s="460" t="str">
        <f t="shared" si="4"/>
        <v/>
      </c>
      <c r="AM38" s="459" t="str">
        <f>IFERROR(INDEX(V!$R:$R,MATCH(AN38,V!$L:$L,0)),"")</f>
        <v/>
      </c>
      <c r="AN38" s="460" t="str">
        <f t="shared" si="5"/>
        <v/>
      </c>
      <c r="AO38" s="459" t="str">
        <f>IFERROR(INDEX(V!$R:$R,MATCH(AP38,V!$L:$L,0)),"")</f>
        <v/>
      </c>
      <c r="AP38" s="460" t="str">
        <f t="shared" si="6"/>
        <v/>
      </c>
    </row>
    <row r="39" spans="1:42"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58">
        <f t="shared" si="11"/>
        <v>0</v>
      </c>
      <c r="AE39" s="459" t="str">
        <f>IFERROR(INDEX(V!$R:$R,MATCH(AF39,V!$L:$L,0)),"")</f>
        <v/>
      </c>
      <c r="AF39" s="460" t="str">
        <f t="shared" si="1"/>
        <v/>
      </c>
      <c r="AG39" s="459" t="str">
        <f>IFERROR(INDEX(V!$R:$R,MATCH(AH39,V!$L:$L,0)),"")</f>
        <v/>
      </c>
      <c r="AH39" s="460" t="str">
        <f t="shared" si="2"/>
        <v/>
      </c>
      <c r="AI39" s="459" t="str">
        <f>IFERROR(INDEX(V!$R:$R,MATCH(AJ39,V!$L:$L,0)),"")</f>
        <v/>
      </c>
      <c r="AJ39" s="460" t="str">
        <f t="shared" si="3"/>
        <v/>
      </c>
      <c r="AK39" s="459" t="str">
        <f>IFERROR(INDEX(V!$R:$R,MATCH(AL39,V!$L:$L,0)),"")</f>
        <v/>
      </c>
      <c r="AL39" s="460" t="str">
        <f t="shared" si="4"/>
        <v/>
      </c>
      <c r="AM39" s="459" t="str">
        <f>IFERROR(INDEX(V!$R:$R,MATCH(AN39,V!$L:$L,0)),"")</f>
        <v/>
      </c>
      <c r="AN39" s="460" t="str">
        <f t="shared" si="5"/>
        <v/>
      </c>
      <c r="AO39" s="459" t="str">
        <f>IFERROR(INDEX(V!$R:$R,MATCH(AP39,V!$L:$L,0)),"")</f>
        <v/>
      </c>
      <c r="AP39" s="460" t="str">
        <f t="shared" si="6"/>
        <v/>
      </c>
    </row>
    <row r="40" spans="1:42"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58">
        <f t="shared" si="11"/>
        <v>0</v>
      </c>
      <c r="AE40" s="459" t="str">
        <f>IFERROR(INDEX(V!$R:$R,MATCH(AF40,V!$L:$L,0)),"")</f>
        <v/>
      </c>
      <c r="AF40" s="460" t="str">
        <f t="shared" si="1"/>
        <v/>
      </c>
      <c r="AG40" s="459" t="str">
        <f>IFERROR(INDEX(V!$R:$R,MATCH(AH40,V!$L:$L,0)),"")</f>
        <v/>
      </c>
      <c r="AH40" s="460" t="str">
        <f t="shared" si="2"/>
        <v/>
      </c>
      <c r="AI40" s="459" t="str">
        <f>IFERROR(INDEX(V!$R:$R,MATCH(AJ40,V!$L:$L,0)),"")</f>
        <v/>
      </c>
      <c r="AJ40" s="460" t="str">
        <f t="shared" si="3"/>
        <v/>
      </c>
      <c r="AK40" s="459" t="str">
        <f>IFERROR(INDEX(V!$R:$R,MATCH(AL40,V!$L:$L,0)),"")</f>
        <v/>
      </c>
      <c r="AL40" s="460" t="str">
        <f t="shared" si="4"/>
        <v/>
      </c>
      <c r="AM40" s="459" t="str">
        <f>IFERROR(INDEX(V!$R:$R,MATCH(AN40,V!$L:$L,0)),"")</f>
        <v/>
      </c>
      <c r="AN40" s="460" t="str">
        <f t="shared" si="5"/>
        <v/>
      </c>
      <c r="AO40" s="459" t="str">
        <f>IFERROR(INDEX(V!$R:$R,MATCH(AP40,V!$L:$L,0)),"")</f>
        <v/>
      </c>
      <c r="AP40" s="460" t="str">
        <f t="shared" si="6"/>
        <v/>
      </c>
    </row>
    <row r="41" spans="1:42"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58">
        <f t="shared" si="11"/>
        <v>0</v>
      </c>
      <c r="AE41" s="459" t="str">
        <f>IFERROR(INDEX(V!$R:$R,MATCH(AF41,V!$L:$L,0)),"")</f>
        <v/>
      </c>
      <c r="AF41" s="460" t="str">
        <f t="shared" si="1"/>
        <v/>
      </c>
      <c r="AG41" s="459" t="str">
        <f>IFERROR(INDEX(V!$R:$R,MATCH(AH41,V!$L:$L,0)),"")</f>
        <v/>
      </c>
      <c r="AH41" s="460" t="str">
        <f t="shared" si="2"/>
        <v/>
      </c>
      <c r="AI41" s="459" t="str">
        <f>IFERROR(INDEX(V!$R:$R,MATCH(AJ41,V!$L:$L,0)),"")</f>
        <v/>
      </c>
      <c r="AJ41" s="460" t="str">
        <f t="shared" si="3"/>
        <v/>
      </c>
      <c r="AK41" s="459" t="str">
        <f>IFERROR(INDEX(V!$R:$R,MATCH(AL41,V!$L:$L,0)),"")</f>
        <v/>
      </c>
      <c r="AL41" s="460" t="str">
        <f t="shared" si="4"/>
        <v/>
      </c>
      <c r="AM41" s="459" t="str">
        <f>IFERROR(INDEX(V!$R:$R,MATCH(AN41,V!$L:$L,0)),"")</f>
        <v/>
      </c>
      <c r="AN41" s="460" t="str">
        <f t="shared" si="5"/>
        <v/>
      </c>
      <c r="AO41" s="459" t="str">
        <f>IFERROR(INDEX(V!$R:$R,MATCH(AP41,V!$L:$L,0)),"")</f>
        <v/>
      </c>
      <c r="AP41" s="460" t="str">
        <f t="shared" si="6"/>
        <v/>
      </c>
    </row>
    <row r="42" spans="1:42"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58">
        <f t="shared" si="11"/>
        <v>0</v>
      </c>
      <c r="AE42" s="459" t="str">
        <f>IFERROR(INDEX(V!$R:$R,MATCH(AF42,V!$L:$L,0)),"")</f>
        <v/>
      </c>
      <c r="AF42" s="460" t="str">
        <f t="shared" si="1"/>
        <v/>
      </c>
      <c r="AG42" s="459" t="str">
        <f>IFERROR(INDEX(V!$R:$R,MATCH(AH42,V!$L:$L,0)),"")</f>
        <v/>
      </c>
      <c r="AH42" s="460" t="str">
        <f t="shared" si="2"/>
        <v/>
      </c>
      <c r="AI42" s="459" t="str">
        <f>IFERROR(INDEX(V!$R:$R,MATCH(AJ42,V!$L:$L,0)),"")</f>
        <v/>
      </c>
      <c r="AJ42" s="460" t="str">
        <f t="shared" si="3"/>
        <v/>
      </c>
      <c r="AK42" s="459" t="str">
        <f>IFERROR(INDEX(V!$R:$R,MATCH(AL42,V!$L:$L,0)),"")</f>
        <v/>
      </c>
      <c r="AL42" s="460" t="str">
        <f t="shared" si="4"/>
        <v/>
      </c>
      <c r="AM42" s="459" t="str">
        <f>IFERROR(INDEX(V!$R:$R,MATCH(AN42,V!$L:$L,0)),"")</f>
        <v/>
      </c>
      <c r="AN42" s="460" t="str">
        <f t="shared" si="5"/>
        <v/>
      </c>
      <c r="AO42" s="459" t="str">
        <f>IFERROR(INDEX(V!$R:$R,MATCH(AP42,V!$L:$L,0)),"")</f>
        <v/>
      </c>
      <c r="AP42" s="460" t="str">
        <f t="shared" si="6"/>
        <v/>
      </c>
    </row>
    <row r="43" spans="1:42"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58">
        <f t="shared" si="11"/>
        <v>0</v>
      </c>
      <c r="AE43" s="459" t="str">
        <f>IFERROR(INDEX(V!$R:$R,MATCH(AF43,V!$L:$L,0)),"")</f>
        <v/>
      </c>
      <c r="AF43" s="460" t="str">
        <f t="shared" si="1"/>
        <v/>
      </c>
      <c r="AG43" s="459" t="str">
        <f>IFERROR(INDEX(V!$R:$R,MATCH(AH43,V!$L:$L,0)),"")</f>
        <v/>
      </c>
      <c r="AH43" s="460" t="str">
        <f t="shared" si="2"/>
        <v/>
      </c>
      <c r="AI43" s="459" t="str">
        <f>IFERROR(INDEX(V!$R:$R,MATCH(AJ43,V!$L:$L,0)),"")</f>
        <v/>
      </c>
      <c r="AJ43" s="460" t="str">
        <f t="shared" si="3"/>
        <v/>
      </c>
      <c r="AK43" s="459" t="str">
        <f>IFERROR(INDEX(V!$R:$R,MATCH(AL43,V!$L:$L,0)),"")</f>
        <v/>
      </c>
      <c r="AL43" s="460" t="str">
        <f t="shared" si="4"/>
        <v/>
      </c>
      <c r="AM43" s="459" t="str">
        <f>IFERROR(INDEX(V!$R:$R,MATCH(AN43,V!$L:$L,0)),"")</f>
        <v/>
      </c>
      <c r="AN43" s="460" t="str">
        <f t="shared" si="5"/>
        <v/>
      </c>
      <c r="AO43" s="459" t="str">
        <f>IFERROR(INDEX(V!$R:$R,MATCH(AP43,V!$L:$L,0)),"")</f>
        <v/>
      </c>
      <c r="AP43" s="460" t="str">
        <f t="shared" si="6"/>
        <v/>
      </c>
    </row>
    <row r="44" spans="1:42"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58">
        <f t="shared" si="11"/>
        <v>0</v>
      </c>
      <c r="AE44" s="459" t="str">
        <f>IFERROR(INDEX(V!$R:$R,MATCH(AF44,V!$L:$L,0)),"")</f>
        <v/>
      </c>
      <c r="AF44" s="460" t="str">
        <f t="shared" si="1"/>
        <v/>
      </c>
      <c r="AG44" s="459" t="str">
        <f>IFERROR(INDEX(V!$R:$R,MATCH(AH44,V!$L:$L,0)),"")</f>
        <v/>
      </c>
      <c r="AH44" s="460" t="str">
        <f t="shared" si="2"/>
        <v/>
      </c>
      <c r="AI44" s="459" t="str">
        <f>IFERROR(INDEX(V!$R:$R,MATCH(AJ44,V!$L:$L,0)),"")</f>
        <v/>
      </c>
      <c r="AJ44" s="460" t="str">
        <f t="shared" si="3"/>
        <v/>
      </c>
      <c r="AK44" s="459" t="str">
        <f>IFERROR(INDEX(V!$R:$R,MATCH(AL44,V!$L:$L,0)),"")</f>
        <v/>
      </c>
      <c r="AL44" s="460" t="str">
        <f t="shared" si="4"/>
        <v/>
      </c>
      <c r="AM44" s="459" t="str">
        <f>IFERROR(INDEX(V!$R:$R,MATCH(AN44,V!$L:$L,0)),"")</f>
        <v/>
      </c>
      <c r="AN44" s="460" t="str">
        <f t="shared" si="5"/>
        <v/>
      </c>
      <c r="AO44" s="459" t="str">
        <f>IFERROR(INDEX(V!$R:$R,MATCH(AP44,V!$L:$L,0)),"")</f>
        <v/>
      </c>
      <c r="AP44" s="460" t="str">
        <f t="shared" si="6"/>
        <v/>
      </c>
    </row>
    <row r="45" spans="1:42"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58">
        <f t="shared" si="11"/>
        <v>0</v>
      </c>
      <c r="AE45" s="459" t="str">
        <f>IFERROR(INDEX(V!$R:$R,MATCH(AF45,V!$L:$L,0)),"")</f>
        <v/>
      </c>
      <c r="AF45" s="460" t="str">
        <f t="shared" si="1"/>
        <v/>
      </c>
      <c r="AG45" s="459" t="str">
        <f>IFERROR(INDEX(V!$R:$R,MATCH(AH45,V!$L:$L,0)),"")</f>
        <v/>
      </c>
      <c r="AH45" s="460" t="str">
        <f t="shared" si="2"/>
        <v/>
      </c>
      <c r="AI45" s="459" t="str">
        <f>IFERROR(INDEX(V!$R:$R,MATCH(AJ45,V!$L:$L,0)),"")</f>
        <v/>
      </c>
      <c r="AJ45" s="460" t="str">
        <f t="shared" si="3"/>
        <v/>
      </c>
      <c r="AK45" s="459" t="str">
        <f>IFERROR(INDEX(V!$R:$R,MATCH(AL45,V!$L:$L,0)),"")</f>
        <v/>
      </c>
      <c r="AL45" s="460" t="str">
        <f t="shared" si="4"/>
        <v/>
      </c>
      <c r="AM45" s="459" t="str">
        <f>IFERROR(INDEX(V!$R:$R,MATCH(AN45,V!$L:$L,0)),"")</f>
        <v/>
      </c>
      <c r="AN45" s="460" t="str">
        <f t="shared" si="5"/>
        <v/>
      </c>
      <c r="AO45" s="459" t="str">
        <f>IFERROR(INDEX(V!$R:$R,MATCH(AP45,V!$L:$L,0)),"")</f>
        <v/>
      </c>
      <c r="AP45" s="460" t="str">
        <f t="shared" si="6"/>
        <v/>
      </c>
    </row>
    <row r="46" spans="1:42"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58">
        <f t="shared" si="11"/>
        <v>0</v>
      </c>
      <c r="AE46" s="459" t="str">
        <f>IFERROR(INDEX(V!$R:$R,MATCH(AF46,V!$L:$L,0)),"")</f>
        <v/>
      </c>
      <c r="AF46" s="460" t="str">
        <f t="shared" si="1"/>
        <v/>
      </c>
      <c r="AG46" s="459" t="str">
        <f>IFERROR(INDEX(V!$R:$R,MATCH(AH46,V!$L:$L,0)),"")</f>
        <v/>
      </c>
      <c r="AH46" s="460" t="str">
        <f t="shared" si="2"/>
        <v/>
      </c>
      <c r="AI46" s="459" t="str">
        <f>IFERROR(INDEX(V!$R:$R,MATCH(AJ46,V!$L:$L,0)),"")</f>
        <v/>
      </c>
      <c r="AJ46" s="460" t="str">
        <f t="shared" si="3"/>
        <v/>
      </c>
      <c r="AK46" s="459" t="str">
        <f>IFERROR(INDEX(V!$R:$R,MATCH(AL46,V!$L:$L,0)),"")</f>
        <v/>
      </c>
      <c r="AL46" s="460" t="str">
        <f t="shared" si="4"/>
        <v/>
      </c>
      <c r="AM46" s="459" t="str">
        <f>IFERROR(INDEX(V!$R:$R,MATCH(AN46,V!$L:$L,0)),"")</f>
        <v/>
      </c>
      <c r="AN46" s="460" t="str">
        <f t="shared" si="5"/>
        <v/>
      </c>
      <c r="AO46" s="459" t="str">
        <f>IFERROR(INDEX(V!$R:$R,MATCH(AP46,V!$L:$L,0)),"")</f>
        <v/>
      </c>
      <c r="AP46" s="460" t="str">
        <f t="shared" si="6"/>
        <v/>
      </c>
    </row>
    <row r="47" spans="1:42"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58">
        <f t="shared" si="11"/>
        <v>0</v>
      </c>
      <c r="AE47" s="459" t="str">
        <f>IFERROR(INDEX(V!$R:$R,MATCH(AF47,V!$L:$L,0)),"")</f>
        <v/>
      </c>
      <c r="AF47" s="460" t="str">
        <f t="shared" si="1"/>
        <v/>
      </c>
      <c r="AG47" s="459" t="str">
        <f>IFERROR(INDEX(V!$R:$R,MATCH(AH47,V!$L:$L,0)),"")</f>
        <v/>
      </c>
      <c r="AH47" s="460" t="str">
        <f t="shared" si="2"/>
        <v/>
      </c>
      <c r="AI47" s="459" t="str">
        <f>IFERROR(INDEX(V!$R:$R,MATCH(AJ47,V!$L:$L,0)),"")</f>
        <v/>
      </c>
      <c r="AJ47" s="460" t="str">
        <f t="shared" si="3"/>
        <v/>
      </c>
      <c r="AK47" s="459" t="str">
        <f>IFERROR(INDEX(V!$R:$R,MATCH(AL47,V!$L:$L,0)),"")</f>
        <v/>
      </c>
      <c r="AL47" s="460" t="str">
        <f t="shared" si="4"/>
        <v/>
      </c>
      <c r="AM47" s="459" t="str">
        <f>IFERROR(INDEX(V!$R:$R,MATCH(AN47,V!$L:$L,0)),"")</f>
        <v/>
      </c>
      <c r="AN47" s="460" t="str">
        <f t="shared" si="5"/>
        <v/>
      </c>
      <c r="AO47" s="459" t="str">
        <f>IFERROR(INDEX(V!$R:$R,MATCH(AP47,V!$L:$L,0)),"")</f>
        <v/>
      </c>
      <c r="AP47" s="460" t="str">
        <f t="shared" si="6"/>
        <v/>
      </c>
    </row>
    <row r="48" spans="1:42"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58">
        <f t="shared" si="11"/>
        <v>0</v>
      </c>
      <c r="AE48" s="459" t="str">
        <f>IFERROR(INDEX(V!$R:$R,MATCH(AF48,V!$L:$L,0)),"")</f>
        <v/>
      </c>
      <c r="AF48" s="460" t="str">
        <f t="shared" si="1"/>
        <v/>
      </c>
      <c r="AG48" s="459" t="str">
        <f>IFERROR(INDEX(V!$R:$R,MATCH(AH48,V!$L:$L,0)),"")</f>
        <v/>
      </c>
      <c r="AH48" s="460" t="str">
        <f t="shared" si="2"/>
        <v/>
      </c>
      <c r="AI48" s="459" t="str">
        <f>IFERROR(INDEX(V!$R:$R,MATCH(AJ48,V!$L:$L,0)),"")</f>
        <v/>
      </c>
      <c r="AJ48" s="460" t="str">
        <f t="shared" si="3"/>
        <v/>
      </c>
      <c r="AK48" s="459" t="str">
        <f>IFERROR(INDEX(V!$R:$R,MATCH(AL48,V!$L:$L,0)),"")</f>
        <v/>
      </c>
      <c r="AL48" s="460" t="str">
        <f t="shared" si="4"/>
        <v/>
      </c>
      <c r="AM48" s="459" t="str">
        <f>IFERROR(INDEX(V!$R:$R,MATCH(AN48,V!$L:$L,0)),"")</f>
        <v/>
      </c>
      <c r="AN48" s="460" t="str">
        <f t="shared" si="5"/>
        <v/>
      </c>
      <c r="AO48" s="459" t="str">
        <f>IFERROR(INDEX(V!$R:$R,MATCH(AP48,V!$L:$L,0)),"")</f>
        <v/>
      </c>
      <c r="AP48" s="460" t="str">
        <f t="shared" si="6"/>
        <v/>
      </c>
    </row>
    <row r="49" spans="1:42"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58">
        <f t="shared" si="11"/>
        <v>0</v>
      </c>
      <c r="AE49" s="459" t="str">
        <f>IFERROR(INDEX(V!$R:$R,MATCH(AF49,V!$L:$L,0)),"")</f>
        <v/>
      </c>
      <c r="AF49" s="460" t="str">
        <f t="shared" si="1"/>
        <v/>
      </c>
      <c r="AG49" s="459" t="str">
        <f>IFERROR(INDEX(V!$R:$R,MATCH(AH49,V!$L:$L,0)),"")</f>
        <v/>
      </c>
      <c r="AH49" s="460" t="str">
        <f t="shared" si="2"/>
        <v/>
      </c>
      <c r="AI49" s="459" t="str">
        <f>IFERROR(INDEX(V!$R:$R,MATCH(AJ49,V!$L:$L,0)),"")</f>
        <v/>
      </c>
      <c r="AJ49" s="460" t="str">
        <f t="shared" si="3"/>
        <v/>
      </c>
      <c r="AK49" s="459" t="str">
        <f>IFERROR(INDEX(V!$R:$R,MATCH(AL49,V!$L:$L,0)),"")</f>
        <v/>
      </c>
      <c r="AL49" s="460" t="str">
        <f t="shared" si="4"/>
        <v/>
      </c>
      <c r="AM49" s="459" t="str">
        <f>IFERROR(INDEX(V!$R:$R,MATCH(AN49,V!$L:$L,0)),"")</f>
        <v/>
      </c>
      <c r="AN49" s="460" t="str">
        <f t="shared" si="5"/>
        <v/>
      </c>
      <c r="AO49" s="459" t="str">
        <f>IFERROR(INDEX(V!$R:$R,MATCH(AP49,V!$L:$L,0)),"")</f>
        <v/>
      </c>
      <c r="AP49" s="460" t="str">
        <f t="shared" si="6"/>
        <v/>
      </c>
    </row>
    <row r="50" spans="1:42"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58">
        <f t="shared" si="11"/>
        <v>0</v>
      </c>
      <c r="AE50" s="459" t="str">
        <f>IFERROR(INDEX(V!$R:$R,MATCH(AF50,V!$L:$L,0)),"")</f>
        <v/>
      </c>
      <c r="AF50" s="460" t="str">
        <f t="shared" si="1"/>
        <v/>
      </c>
      <c r="AG50" s="459" t="str">
        <f>IFERROR(INDEX(V!$R:$R,MATCH(AH50,V!$L:$L,0)),"")</f>
        <v/>
      </c>
      <c r="AH50" s="460" t="str">
        <f t="shared" si="2"/>
        <v/>
      </c>
      <c r="AI50" s="459" t="str">
        <f>IFERROR(INDEX(V!$R:$R,MATCH(AJ50,V!$L:$L,0)),"")</f>
        <v/>
      </c>
      <c r="AJ50" s="460" t="str">
        <f t="shared" si="3"/>
        <v/>
      </c>
      <c r="AK50" s="459" t="str">
        <f>IFERROR(INDEX(V!$R:$R,MATCH(AL50,V!$L:$L,0)),"")</f>
        <v/>
      </c>
      <c r="AL50" s="460" t="str">
        <f t="shared" si="4"/>
        <v/>
      </c>
      <c r="AM50" s="459" t="str">
        <f>IFERROR(INDEX(V!$R:$R,MATCH(AN50,V!$L:$L,0)),"")</f>
        <v/>
      </c>
      <c r="AN50" s="460" t="str">
        <f t="shared" si="5"/>
        <v/>
      </c>
      <c r="AO50" s="459" t="str">
        <f>IFERROR(INDEX(V!$R:$R,MATCH(AP50,V!$L:$L,0)),"")</f>
        <v/>
      </c>
      <c r="AP50" s="460" t="str">
        <f t="shared" si="6"/>
        <v/>
      </c>
    </row>
    <row r="51" spans="1:42"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58">
        <f t="shared" si="11"/>
        <v>0</v>
      </c>
      <c r="AE51" s="459" t="str">
        <f>IFERROR(INDEX(V!$R:$R,MATCH(AF51,V!$L:$L,0)),"")</f>
        <v/>
      </c>
      <c r="AF51" s="460" t="str">
        <f t="shared" si="1"/>
        <v/>
      </c>
      <c r="AG51" s="459" t="str">
        <f>IFERROR(INDEX(V!$R:$R,MATCH(AH51,V!$L:$L,0)),"")</f>
        <v/>
      </c>
      <c r="AH51" s="460" t="str">
        <f t="shared" si="2"/>
        <v/>
      </c>
      <c r="AI51" s="459" t="str">
        <f>IFERROR(INDEX(V!$R:$R,MATCH(AJ51,V!$L:$L,0)),"")</f>
        <v/>
      </c>
      <c r="AJ51" s="460" t="str">
        <f t="shared" si="3"/>
        <v/>
      </c>
      <c r="AK51" s="459" t="str">
        <f>IFERROR(INDEX(V!$R:$R,MATCH(AL51,V!$L:$L,0)),"")</f>
        <v/>
      </c>
      <c r="AL51" s="460" t="str">
        <f t="shared" si="4"/>
        <v/>
      </c>
      <c r="AM51" s="459" t="str">
        <f>IFERROR(INDEX(V!$R:$R,MATCH(AN51,V!$L:$L,0)),"")</f>
        <v/>
      </c>
      <c r="AN51" s="460" t="str">
        <f t="shared" si="5"/>
        <v/>
      </c>
      <c r="AO51" s="459" t="str">
        <f>IFERROR(INDEX(V!$R:$R,MATCH(AP51,V!$L:$L,0)),"")</f>
        <v/>
      </c>
      <c r="AP51" s="460" t="str">
        <f t="shared" si="6"/>
        <v/>
      </c>
    </row>
    <row r="52" spans="1:42"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58">
        <f t="shared" si="11"/>
        <v>0</v>
      </c>
      <c r="AE52" s="459" t="str">
        <f>IFERROR(INDEX(V!$R:$R,MATCH(AF52,V!$L:$L,0)),"")</f>
        <v/>
      </c>
      <c r="AF52" s="460" t="str">
        <f t="shared" si="1"/>
        <v/>
      </c>
      <c r="AG52" s="459" t="str">
        <f>IFERROR(INDEX(V!$R:$R,MATCH(AH52,V!$L:$L,0)),"")</f>
        <v/>
      </c>
      <c r="AH52" s="460" t="str">
        <f t="shared" si="2"/>
        <v/>
      </c>
      <c r="AI52" s="459" t="str">
        <f>IFERROR(INDEX(V!$R:$R,MATCH(AJ52,V!$L:$L,0)),"")</f>
        <v/>
      </c>
      <c r="AJ52" s="460" t="str">
        <f t="shared" si="3"/>
        <v/>
      </c>
      <c r="AK52" s="459" t="str">
        <f>IFERROR(INDEX(V!$R:$R,MATCH(AL52,V!$L:$L,0)),"")</f>
        <v/>
      </c>
      <c r="AL52" s="460" t="str">
        <f t="shared" si="4"/>
        <v/>
      </c>
      <c r="AM52" s="459" t="str">
        <f>IFERROR(INDEX(V!$R:$R,MATCH(AN52,V!$L:$L,0)),"")</f>
        <v/>
      </c>
      <c r="AN52" s="460" t="str">
        <f t="shared" si="5"/>
        <v/>
      </c>
      <c r="AO52" s="459" t="str">
        <f>IFERROR(INDEX(V!$R:$R,MATCH(AP52,V!$L:$L,0)),"")</f>
        <v/>
      </c>
      <c r="AP52" s="460" t="str">
        <f t="shared" si="6"/>
        <v/>
      </c>
    </row>
    <row r="53" spans="1:42"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58">
        <f t="shared" si="11"/>
        <v>0</v>
      </c>
      <c r="AE53" s="459" t="str">
        <f>IFERROR(INDEX(V!$R:$R,MATCH(AF53,V!$L:$L,0)),"")</f>
        <v/>
      </c>
      <c r="AF53" s="460" t="str">
        <f t="shared" si="1"/>
        <v/>
      </c>
      <c r="AG53" s="459" t="str">
        <f>IFERROR(INDEX(V!$R:$R,MATCH(AH53,V!$L:$L,0)),"")</f>
        <v/>
      </c>
      <c r="AH53" s="460" t="str">
        <f t="shared" si="2"/>
        <v/>
      </c>
      <c r="AI53" s="459" t="str">
        <f>IFERROR(INDEX(V!$R:$R,MATCH(AJ53,V!$L:$L,0)),"")</f>
        <v/>
      </c>
      <c r="AJ53" s="460" t="str">
        <f t="shared" si="3"/>
        <v/>
      </c>
      <c r="AK53" s="459" t="str">
        <f>IFERROR(INDEX(V!$R:$R,MATCH(AL53,V!$L:$L,0)),"")</f>
        <v/>
      </c>
      <c r="AL53" s="460" t="str">
        <f t="shared" si="4"/>
        <v/>
      </c>
      <c r="AM53" s="459" t="str">
        <f>IFERROR(INDEX(V!$R:$R,MATCH(AN53,V!$L:$L,0)),"")</f>
        <v/>
      </c>
      <c r="AN53" s="460" t="str">
        <f t="shared" si="5"/>
        <v/>
      </c>
      <c r="AO53" s="459" t="str">
        <f>IFERROR(INDEX(V!$R:$R,MATCH(AP53,V!$L:$L,0)),"")</f>
        <v/>
      </c>
      <c r="AP53" s="460" t="str">
        <f t="shared" si="6"/>
        <v/>
      </c>
    </row>
    <row r="54" spans="1:42"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58">
        <f t="shared" si="11"/>
        <v>0</v>
      </c>
      <c r="AE54" s="459" t="str">
        <f>IFERROR(INDEX(V!$R:$R,MATCH(AF54,V!$L:$L,0)),"")</f>
        <v/>
      </c>
      <c r="AF54" s="460" t="str">
        <f t="shared" si="1"/>
        <v/>
      </c>
      <c r="AG54" s="459" t="str">
        <f>IFERROR(INDEX(V!$R:$R,MATCH(AH54,V!$L:$L,0)),"")</f>
        <v/>
      </c>
      <c r="AH54" s="460" t="str">
        <f t="shared" si="2"/>
        <v/>
      </c>
      <c r="AI54" s="459" t="str">
        <f>IFERROR(INDEX(V!$R:$R,MATCH(AJ54,V!$L:$L,0)),"")</f>
        <v/>
      </c>
      <c r="AJ54" s="460" t="str">
        <f t="shared" si="3"/>
        <v/>
      </c>
      <c r="AK54" s="459" t="str">
        <f>IFERROR(INDEX(V!$R:$R,MATCH(AL54,V!$L:$L,0)),"")</f>
        <v/>
      </c>
      <c r="AL54" s="460" t="str">
        <f t="shared" si="4"/>
        <v/>
      </c>
      <c r="AM54" s="459" t="str">
        <f>IFERROR(INDEX(V!$R:$R,MATCH(AN54,V!$L:$L,0)),"")</f>
        <v/>
      </c>
      <c r="AN54" s="460" t="str">
        <f t="shared" si="5"/>
        <v/>
      </c>
      <c r="AO54" s="459" t="str">
        <f>IFERROR(INDEX(V!$R:$R,MATCH(AP54,V!$L:$L,0)),"")</f>
        <v/>
      </c>
      <c r="AP54" s="460" t="str">
        <f t="shared" si="6"/>
        <v/>
      </c>
    </row>
    <row r="55" spans="1:42"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58">
        <f t="shared" si="11"/>
        <v>0</v>
      </c>
      <c r="AE55" s="459" t="str">
        <f>IFERROR(INDEX(V!$R:$R,MATCH(AF55,V!$L:$L,0)),"")</f>
        <v/>
      </c>
      <c r="AF55" s="460" t="str">
        <f t="shared" si="1"/>
        <v/>
      </c>
      <c r="AG55" s="459" t="str">
        <f>IFERROR(INDEX(V!$R:$R,MATCH(AH55,V!$L:$L,0)),"")</f>
        <v/>
      </c>
      <c r="AH55" s="460" t="str">
        <f t="shared" si="2"/>
        <v/>
      </c>
      <c r="AI55" s="459" t="str">
        <f>IFERROR(INDEX(V!$R:$R,MATCH(AJ55,V!$L:$L,0)),"")</f>
        <v/>
      </c>
      <c r="AJ55" s="460" t="str">
        <f t="shared" si="3"/>
        <v/>
      </c>
      <c r="AK55" s="459" t="str">
        <f>IFERROR(INDEX(V!$R:$R,MATCH(AL55,V!$L:$L,0)),"")</f>
        <v/>
      </c>
      <c r="AL55" s="460" t="str">
        <f t="shared" si="4"/>
        <v/>
      </c>
      <c r="AM55" s="459" t="str">
        <f>IFERROR(INDEX(V!$R:$R,MATCH(AN55,V!$L:$L,0)),"")</f>
        <v/>
      </c>
      <c r="AN55" s="460" t="str">
        <f t="shared" si="5"/>
        <v/>
      </c>
      <c r="AO55" s="459" t="str">
        <f>IFERROR(INDEX(V!$R:$R,MATCH(AP55,V!$L:$L,0)),"")</f>
        <v/>
      </c>
      <c r="AP55" s="460" t="str">
        <f t="shared" si="6"/>
        <v/>
      </c>
    </row>
    <row r="56" spans="1:42"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58">
        <f t="shared" si="11"/>
        <v>0</v>
      </c>
      <c r="AE56" s="459" t="str">
        <f>IFERROR(INDEX(V!$R:$R,MATCH(AF56,V!$L:$L,0)),"")</f>
        <v/>
      </c>
      <c r="AF56" s="460" t="str">
        <f t="shared" si="1"/>
        <v/>
      </c>
      <c r="AG56" s="459" t="str">
        <f>IFERROR(INDEX(V!$R:$R,MATCH(AH56,V!$L:$L,0)),"")</f>
        <v/>
      </c>
      <c r="AH56" s="460" t="str">
        <f t="shared" si="2"/>
        <v/>
      </c>
      <c r="AI56" s="459" t="str">
        <f>IFERROR(INDEX(V!$R:$R,MATCH(AJ56,V!$L:$L,0)),"")</f>
        <v/>
      </c>
      <c r="AJ56" s="460" t="str">
        <f t="shared" si="3"/>
        <v/>
      </c>
      <c r="AK56" s="459" t="str">
        <f>IFERROR(INDEX(V!$R:$R,MATCH(AL56,V!$L:$L,0)),"")</f>
        <v/>
      </c>
      <c r="AL56" s="460" t="str">
        <f t="shared" si="4"/>
        <v/>
      </c>
      <c r="AM56" s="459" t="str">
        <f>IFERROR(INDEX(V!$R:$R,MATCH(AN56,V!$L:$L,0)),"")</f>
        <v/>
      </c>
      <c r="AN56" s="460" t="str">
        <f t="shared" si="5"/>
        <v/>
      </c>
      <c r="AO56" s="459" t="str">
        <f>IFERROR(INDEX(V!$R:$R,MATCH(AP56,V!$L:$L,0)),"")</f>
        <v/>
      </c>
      <c r="AP56" s="460" t="str">
        <f t="shared" si="6"/>
        <v/>
      </c>
    </row>
    <row r="57" spans="1:42"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58">
        <f t="shared" si="11"/>
        <v>0</v>
      </c>
      <c r="AE57" s="459" t="str">
        <f>IFERROR(INDEX(V!$R:$R,MATCH(AF57,V!$L:$L,0)),"")</f>
        <v/>
      </c>
      <c r="AF57" s="460" t="str">
        <f t="shared" si="1"/>
        <v/>
      </c>
      <c r="AG57" s="459" t="str">
        <f>IFERROR(INDEX(V!$R:$R,MATCH(AH57,V!$L:$L,0)),"")</f>
        <v/>
      </c>
      <c r="AH57" s="460" t="str">
        <f t="shared" si="2"/>
        <v/>
      </c>
      <c r="AI57" s="459" t="str">
        <f>IFERROR(INDEX(V!$R:$R,MATCH(AJ57,V!$L:$L,0)),"")</f>
        <v/>
      </c>
      <c r="AJ57" s="460" t="str">
        <f t="shared" si="3"/>
        <v/>
      </c>
      <c r="AK57" s="459" t="str">
        <f>IFERROR(INDEX(V!$R:$R,MATCH(AL57,V!$L:$L,0)),"")</f>
        <v/>
      </c>
      <c r="AL57" s="460" t="str">
        <f t="shared" si="4"/>
        <v/>
      </c>
      <c r="AM57" s="459" t="str">
        <f>IFERROR(INDEX(V!$R:$R,MATCH(AN57,V!$L:$L,0)),"")</f>
        <v/>
      </c>
      <c r="AN57" s="460" t="str">
        <f t="shared" si="5"/>
        <v/>
      </c>
      <c r="AO57" s="459" t="str">
        <f>IFERROR(INDEX(V!$R:$R,MATCH(AP57,V!$L:$L,0)),"")</f>
        <v/>
      </c>
      <c r="AP57" s="460" t="str">
        <f t="shared" si="6"/>
        <v/>
      </c>
    </row>
    <row r="58" spans="1:42"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58">
        <f t="shared" si="11"/>
        <v>0</v>
      </c>
      <c r="AE58" s="459" t="str">
        <f>IFERROR(INDEX(V!$R:$R,MATCH(AF58,V!$L:$L,0)),"")</f>
        <v/>
      </c>
      <c r="AF58" s="460" t="str">
        <f t="shared" si="1"/>
        <v/>
      </c>
      <c r="AG58" s="459" t="str">
        <f>IFERROR(INDEX(V!$R:$R,MATCH(AH58,V!$L:$L,0)),"")</f>
        <v/>
      </c>
      <c r="AH58" s="460" t="str">
        <f t="shared" si="2"/>
        <v/>
      </c>
      <c r="AI58" s="459" t="str">
        <f>IFERROR(INDEX(V!$R:$R,MATCH(AJ58,V!$L:$L,0)),"")</f>
        <v/>
      </c>
      <c r="AJ58" s="460" t="str">
        <f t="shared" si="3"/>
        <v/>
      </c>
      <c r="AK58" s="459" t="str">
        <f>IFERROR(INDEX(V!$R:$R,MATCH(AL58,V!$L:$L,0)),"")</f>
        <v/>
      </c>
      <c r="AL58" s="460" t="str">
        <f t="shared" si="4"/>
        <v/>
      </c>
      <c r="AM58" s="459" t="str">
        <f>IFERROR(INDEX(V!$R:$R,MATCH(AN58,V!$L:$L,0)),"")</f>
        <v/>
      </c>
      <c r="AN58" s="460" t="str">
        <f t="shared" si="5"/>
        <v/>
      </c>
      <c r="AO58" s="459" t="str">
        <f>IFERROR(INDEX(V!$R:$R,MATCH(AP58,V!$L:$L,0)),"")</f>
        <v/>
      </c>
      <c r="AP58" s="460" t="str">
        <f t="shared" si="6"/>
        <v/>
      </c>
    </row>
    <row r="59" spans="1:42"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58">
        <f t="shared" si="11"/>
        <v>0</v>
      </c>
      <c r="AE59" s="459" t="str">
        <f>IFERROR(INDEX(V!$R:$R,MATCH(AF59,V!$L:$L,0)),"")</f>
        <v/>
      </c>
      <c r="AF59" s="460" t="str">
        <f t="shared" si="1"/>
        <v/>
      </c>
      <c r="AG59" s="459" t="str">
        <f>IFERROR(INDEX(V!$R:$R,MATCH(AH59,V!$L:$L,0)),"")</f>
        <v/>
      </c>
      <c r="AH59" s="460" t="str">
        <f t="shared" si="2"/>
        <v/>
      </c>
      <c r="AI59" s="459" t="str">
        <f>IFERROR(INDEX(V!$R:$R,MATCH(AJ59,V!$L:$L,0)),"")</f>
        <v/>
      </c>
      <c r="AJ59" s="460" t="str">
        <f t="shared" si="3"/>
        <v/>
      </c>
      <c r="AK59" s="459" t="str">
        <f>IFERROR(INDEX(V!$R:$R,MATCH(AL59,V!$L:$L,0)),"")</f>
        <v/>
      </c>
      <c r="AL59" s="460" t="str">
        <f t="shared" si="4"/>
        <v/>
      </c>
      <c r="AM59" s="459" t="str">
        <f>IFERROR(INDEX(V!$R:$R,MATCH(AN59,V!$L:$L,0)),"")</f>
        <v/>
      </c>
      <c r="AN59" s="460" t="str">
        <f t="shared" si="5"/>
        <v/>
      </c>
      <c r="AO59" s="459" t="str">
        <f>IFERROR(INDEX(V!$R:$R,MATCH(AP59,V!$L:$L,0)),"")</f>
        <v/>
      </c>
      <c r="AP59" s="460" t="str">
        <f t="shared" si="6"/>
        <v/>
      </c>
    </row>
    <row r="60" spans="1:42"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58">
        <f t="shared" si="11"/>
        <v>0</v>
      </c>
      <c r="AE60" s="459" t="str">
        <f>IFERROR(INDEX(V!$R:$R,MATCH(AF60,V!$L:$L,0)),"")</f>
        <v/>
      </c>
      <c r="AF60" s="460" t="str">
        <f t="shared" si="1"/>
        <v/>
      </c>
      <c r="AG60" s="459" t="str">
        <f>IFERROR(INDEX(V!$R:$R,MATCH(AH60,V!$L:$L,0)),"")</f>
        <v/>
      </c>
      <c r="AH60" s="460" t="str">
        <f t="shared" si="2"/>
        <v/>
      </c>
      <c r="AI60" s="459" t="str">
        <f>IFERROR(INDEX(V!$R:$R,MATCH(AJ60,V!$L:$L,0)),"")</f>
        <v/>
      </c>
      <c r="AJ60" s="460" t="str">
        <f t="shared" si="3"/>
        <v/>
      </c>
      <c r="AK60" s="459" t="str">
        <f>IFERROR(INDEX(V!$R:$R,MATCH(AL60,V!$L:$L,0)),"")</f>
        <v/>
      </c>
      <c r="AL60" s="460" t="str">
        <f t="shared" si="4"/>
        <v/>
      </c>
      <c r="AM60" s="459" t="str">
        <f>IFERROR(INDEX(V!$R:$R,MATCH(AN60,V!$L:$L,0)),"")</f>
        <v/>
      </c>
      <c r="AN60" s="460" t="str">
        <f t="shared" si="5"/>
        <v/>
      </c>
      <c r="AO60" s="459" t="str">
        <f>IFERROR(INDEX(V!$R:$R,MATCH(AP60,V!$L:$L,0)),"")</f>
        <v/>
      </c>
      <c r="AP60" s="460" t="str">
        <f t="shared" si="6"/>
        <v/>
      </c>
    </row>
    <row r="61" spans="1:42"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58">
        <f t="shared" si="11"/>
        <v>0</v>
      </c>
      <c r="AE61" s="459" t="str">
        <f>IFERROR(INDEX(V!$R:$R,MATCH(AF61,V!$L:$L,0)),"")</f>
        <v/>
      </c>
      <c r="AF61" s="460" t="str">
        <f t="shared" si="1"/>
        <v/>
      </c>
      <c r="AG61" s="459" t="str">
        <f>IFERROR(INDEX(V!$R:$R,MATCH(AH61,V!$L:$L,0)),"")</f>
        <v/>
      </c>
      <c r="AH61" s="460" t="str">
        <f t="shared" si="2"/>
        <v/>
      </c>
      <c r="AI61" s="459" t="str">
        <f>IFERROR(INDEX(V!$R:$R,MATCH(AJ61,V!$L:$L,0)),"")</f>
        <v/>
      </c>
      <c r="AJ61" s="460" t="str">
        <f t="shared" si="3"/>
        <v/>
      </c>
      <c r="AK61" s="459" t="str">
        <f>IFERROR(INDEX(V!$R:$R,MATCH(AL61,V!$L:$L,0)),"")</f>
        <v/>
      </c>
      <c r="AL61" s="460" t="str">
        <f t="shared" si="4"/>
        <v/>
      </c>
      <c r="AM61" s="459" t="str">
        <f>IFERROR(INDEX(V!$R:$R,MATCH(AN61,V!$L:$L,0)),"")</f>
        <v/>
      </c>
      <c r="AN61" s="460" t="str">
        <f t="shared" si="5"/>
        <v/>
      </c>
      <c r="AO61" s="459" t="str">
        <f>IFERROR(INDEX(V!$R:$R,MATCH(AP61,V!$L:$L,0)),"")</f>
        <v/>
      </c>
      <c r="AP61" s="460" t="str">
        <f t="shared" si="6"/>
        <v/>
      </c>
    </row>
    <row r="62" spans="1:42"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58">
        <f t="shared" si="11"/>
        <v>0</v>
      </c>
      <c r="AE62" s="459" t="str">
        <f>IFERROR(INDEX(V!$R:$R,MATCH(AF62,V!$L:$L,0)),"")</f>
        <v/>
      </c>
      <c r="AF62" s="460" t="str">
        <f t="shared" si="1"/>
        <v/>
      </c>
      <c r="AG62" s="459" t="str">
        <f>IFERROR(INDEX(V!$R:$R,MATCH(AH62,V!$L:$L,0)),"")</f>
        <v/>
      </c>
      <c r="AH62" s="460" t="str">
        <f t="shared" si="2"/>
        <v/>
      </c>
      <c r="AI62" s="459" t="str">
        <f>IFERROR(INDEX(V!$R:$R,MATCH(AJ62,V!$L:$L,0)),"")</f>
        <v/>
      </c>
      <c r="AJ62" s="460" t="str">
        <f t="shared" si="3"/>
        <v/>
      </c>
      <c r="AK62" s="459" t="str">
        <f>IFERROR(INDEX(V!$R:$R,MATCH(AL62,V!$L:$L,0)),"")</f>
        <v/>
      </c>
      <c r="AL62" s="460" t="str">
        <f t="shared" si="4"/>
        <v/>
      </c>
      <c r="AM62" s="459" t="str">
        <f>IFERROR(INDEX(V!$R:$R,MATCH(AN62,V!$L:$L,0)),"")</f>
        <v/>
      </c>
      <c r="AN62" s="460" t="str">
        <f t="shared" si="5"/>
        <v/>
      </c>
      <c r="AO62" s="459" t="str">
        <f>IFERROR(INDEX(V!$R:$R,MATCH(AP62,V!$L:$L,0)),"")</f>
        <v/>
      </c>
      <c r="AP62" s="460" t="str">
        <f t="shared" si="6"/>
        <v/>
      </c>
    </row>
    <row r="63" spans="1:42"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58">
        <f t="shared" si="11"/>
        <v>0</v>
      </c>
      <c r="AE63" s="459" t="str">
        <f>IFERROR(INDEX(V!$R:$R,MATCH(AF63,V!$L:$L,0)),"")</f>
        <v/>
      </c>
      <c r="AF63" s="460" t="str">
        <f t="shared" si="1"/>
        <v/>
      </c>
      <c r="AG63" s="459" t="str">
        <f>IFERROR(INDEX(V!$R:$R,MATCH(AH63,V!$L:$L,0)),"")</f>
        <v/>
      </c>
      <c r="AH63" s="460" t="str">
        <f t="shared" si="2"/>
        <v/>
      </c>
      <c r="AI63" s="459" t="str">
        <f>IFERROR(INDEX(V!$R:$R,MATCH(AJ63,V!$L:$L,0)),"")</f>
        <v/>
      </c>
      <c r="AJ63" s="460" t="str">
        <f t="shared" si="3"/>
        <v/>
      </c>
      <c r="AK63" s="459" t="str">
        <f>IFERROR(INDEX(V!$R:$R,MATCH(AL63,V!$L:$L,0)),"")</f>
        <v/>
      </c>
      <c r="AL63" s="460" t="str">
        <f t="shared" si="4"/>
        <v/>
      </c>
      <c r="AM63" s="459" t="str">
        <f>IFERROR(INDEX(V!$R:$R,MATCH(AN63,V!$L:$L,0)),"")</f>
        <v/>
      </c>
      <c r="AN63" s="460" t="str">
        <f t="shared" si="5"/>
        <v/>
      </c>
      <c r="AO63" s="459" t="str">
        <f>IFERROR(INDEX(V!$R:$R,MATCH(AP63,V!$L:$L,0)),"")</f>
        <v/>
      </c>
      <c r="AP63" s="460" t="str">
        <f t="shared" si="6"/>
        <v/>
      </c>
    </row>
    <row r="64" spans="1:42"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58">
        <f t="shared" si="11"/>
        <v>0</v>
      </c>
      <c r="AE64" s="459" t="str">
        <f>IFERROR(INDEX(V!$R:$R,MATCH(AF64,V!$L:$L,0)),"")</f>
        <v/>
      </c>
      <c r="AF64" s="460" t="str">
        <f t="shared" si="1"/>
        <v/>
      </c>
      <c r="AG64" s="459" t="str">
        <f>IFERROR(INDEX(V!$R:$R,MATCH(AH64,V!$L:$L,0)),"")</f>
        <v/>
      </c>
      <c r="AH64" s="460" t="str">
        <f t="shared" si="2"/>
        <v/>
      </c>
      <c r="AI64" s="459" t="str">
        <f>IFERROR(INDEX(V!$R:$R,MATCH(AJ64,V!$L:$L,0)),"")</f>
        <v/>
      </c>
      <c r="AJ64" s="460" t="str">
        <f t="shared" si="3"/>
        <v/>
      </c>
      <c r="AK64" s="459" t="str">
        <f>IFERROR(INDEX(V!$R:$R,MATCH(AL64,V!$L:$L,0)),"")</f>
        <v/>
      </c>
      <c r="AL64" s="460" t="str">
        <f t="shared" si="4"/>
        <v/>
      </c>
      <c r="AM64" s="459" t="str">
        <f>IFERROR(INDEX(V!$R:$R,MATCH(AN64,V!$L:$L,0)),"")</f>
        <v/>
      </c>
      <c r="AN64" s="460" t="str">
        <f t="shared" si="5"/>
        <v/>
      </c>
      <c r="AO64" s="459" t="str">
        <f>IFERROR(INDEX(V!$R:$R,MATCH(AP64,V!$L:$L,0)),"")</f>
        <v/>
      </c>
      <c r="AP64" s="460" t="str">
        <f t="shared" si="6"/>
        <v/>
      </c>
    </row>
    <row r="65" spans="1:42"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58">
        <f t="shared" si="11"/>
        <v>0</v>
      </c>
      <c r="AE65" s="459" t="str">
        <f>IFERROR(INDEX(V!$R:$R,MATCH(AF65,V!$L:$L,0)),"")</f>
        <v/>
      </c>
      <c r="AF65" s="460" t="str">
        <f t="shared" si="1"/>
        <v/>
      </c>
      <c r="AG65" s="459" t="str">
        <f>IFERROR(INDEX(V!$R:$R,MATCH(AH65,V!$L:$L,0)),"")</f>
        <v/>
      </c>
      <c r="AH65" s="460" t="str">
        <f t="shared" si="2"/>
        <v/>
      </c>
      <c r="AI65" s="459" t="str">
        <f>IFERROR(INDEX(V!$R:$R,MATCH(AJ65,V!$L:$L,0)),"")</f>
        <v/>
      </c>
      <c r="AJ65" s="460" t="str">
        <f t="shared" si="3"/>
        <v/>
      </c>
      <c r="AK65" s="459" t="str">
        <f>IFERROR(INDEX(V!$R:$R,MATCH(AL65,V!$L:$L,0)),"")</f>
        <v/>
      </c>
      <c r="AL65" s="460" t="str">
        <f t="shared" si="4"/>
        <v/>
      </c>
      <c r="AM65" s="459" t="str">
        <f>IFERROR(INDEX(V!$R:$R,MATCH(AN65,V!$L:$L,0)),"")</f>
        <v/>
      </c>
      <c r="AN65" s="460" t="str">
        <f t="shared" si="5"/>
        <v/>
      </c>
      <c r="AO65" s="459" t="str">
        <f>IFERROR(INDEX(V!$R:$R,MATCH(AP65,V!$L:$L,0)),"")</f>
        <v/>
      </c>
      <c r="AP65" s="460" t="str">
        <f t="shared" si="6"/>
        <v/>
      </c>
    </row>
    <row r="66" spans="1:42"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58">
        <f t="shared" si="11"/>
        <v>0</v>
      </c>
      <c r="AE66" s="459" t="str">
        <f>IFERROR(INDEX(V!$R:$R,MATCH(AF66,V!$L:$L,0)),"")</f>
        <v/>
      </c>
      <c r="AF66" s="460" t="str">
        <f t="shared" si="1"/>
        <v/>
      </c>
      <c r="AG66" s="459" t="str">
        <f>IFERROR(INDEX(V!$R:$R,MATCH(AH66,V!$L:$L,0)),"")</f>
        <v/>
      </c>
      <c r="AH66" s="460" t="str">
        <f t="shared" si="2"/>
        <v/>
      </c>
      <c r="AI66" s="459" t="str">
        <f>IFERROR(INDEX(V!$R:$R,MATCH(AJ66,V!$L:$L,0)),"")</f>
        <v/>
      </c>
      <c r="AJ66" s="460" t="str">
        <f t="shared" si="3"/>
        <v/>
      </c>
      <c r="AK66" s="459" t="str">
        <f>IFERROR(INDEX(V!$R:$R,MATCH(AL66,V!$L:$L,0)),"")</f>
        <v/>
      </c>
      <c r="AL66" s="460" t="str">
        <f t="shared" si="4"/>
        <v/>
      </c>
      <c r="AM66" s="459" t="str">
        <f>IFERROR(INDEX(V!$R:$R,MATCH(AN66,V!$L:$L,0)),"")</f>
        <v/>
      </c>
      <c r="AN66" s="460" t="str">
        <f t="shared" si="5"/>
        <v/>
      </c>
      <c r="AO66" s="459" t="str">
        <f>IFERROR(INDEX(V!$R:$R,MATCH(AP66,V!$L:$L,0)),"")</f>
        <v/>
      </c>
      <c r="AP66" s="460" t="str">
        <f t="shared" si="6"/>
        <v/>
      </c>
    </row>
    <row r="67" spans="1:42"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58">
        <f t="shared" si="11"/>
        <v>0</v>
      </c>
      <c r="AE67" s="459" t="str">
        <f>IFERROR(INDEX(V!$R:$R,MATCH(AF67,V!$L:$L,0)),"")</f>
        <v/>
      </c>
      <c r="AF67" s="460" t="str">
        <f t="shared" si="1"/>
        <v/>
      </c>
      <c r="AG67" s="459" t="str">
        <f>IFERROR(INDEX(V!$R:$R,MATCH(AH67,V!$L:$L,0)),"")</f>
        <v/>
      </c>
      <c r="AH67" s="460" t="str">
        <f t="shared" si="2"/>
        <v/>
      </c>
      <c r="AI67" s="459" t="str">
        <f>IFERROR(INDEX(V!$R:$R,MATCH(AJ67,V!$L:$L,0)),"")</f>
        <v/>
      </c>
      <c r="AJ67" s="460" t="str">
        <f t="shared" si="3"/>
        <v/>
      </c>
      <c r="AK67" s="459" t="str">
        <f>IFERROR(INDEX(V!$R:$R,MATCH(AL67,V!$L:$L,0)),"")</f>
        <v/>
      </c>
      <c r="AL67" s="460" t="str">
        <f t="shared" si="4"/>
        <v/>
      </c>
      <c r="AM67" s="459" t="str">
        <f>IFERROR(INDEX(V!$R:$R,MATCH(AN67,V!$L:$L,0)),"")</f>
        <v/>
      </c>
      <c r="AN67" s="460" t="str">
        <f t="shared" si="5"/>
        <v/>
      </c>
      <c r="AO67" s="459" t="str">
        <f>IFERROR(INDEX(V!$R:$R,MATCH(AP67,V!$L:$L,0)),"")</f>
        <v/>
      </c>
      <c r="AP67" s="460" t="str">
        <f t="shared" si="6"/>
        <v/>
      </c>
    </row>
    <row r="68" spans="1:42"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58">
        <f t="shared" si="11"/>
        <v>0</v>
      </c>
      <c r="AE68" s="459" t="str">
        <f>IFERROR(INDEX(V!$R:$R,MATCH(AF68,V!$L:$L,0)),"")</f>
        <v/>
      </c>
      <c r="AF68" s="460" t="str">
        <f t="shared" si="1"/>
        <v/>
      </c>
      <c r="AG68" s="459" t="str">
        <f>IFERROR(INDEX(V!$R:$R,MATCH(AH68,V!$L:$L,0)),"")</f>
        <v/>
      </c>
      <c r="AH68" s="460" t="str">
        <f t="shared" si="2"/>
        <v/>
      </c>
      <c r="AI68" s="459" t="str">
        <f>IFERROR(INDEX(V!$R:$R,MATCH(AJ68,V!$L:$L,0)),"")</f>
        <v/>
      </c>
      <c r="AJ68" s="460" t="str">
        <f t="shared" si="3"/>
        <v/>
      </c>
      <c r="AK68" s="459" t="str">
        <f>IFERROR(INDEX(V!$R:$R,MATCH(AL68,V!$L:$L,0)),"")</f>
        <v/>
      </c>
      <c r="AL68" s="460" t="str">
        <f t="shared" si="4"/>
        <v/>
      </c>
      <c r="AM68" s="459" t="str">
        <f>IFERROR(INDEX(V!$R:$R,MATCH(AN68,V!$L:$L,0)),"")</f>
        <v/>
      </c>
      <c r="AN68" s="460" t="str">
        <f t="shared" si="5"/>
        <v/>
      </c>
      <c r="AO68" s="459" t="str">
        <f>IFERROR(INDEX(V!$R:$R,MATCH(AP68,V!$L:$L,0)),"")</f>
        <v/>
      </c>
      <c r="AP68" s="460" t="str">
        <f t="shared" si="6"/>
        <v/>
      </c>
    </row>
    <row r="69" spans="1:42"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58">
        <f t="shared" si="11"/>
        <v>0</v>
      </c>
      <c r="AE69" s="459" t="str">
        <f>IFERROR(INDEX(V!$R:$R,MATCH(AF69,V!$L:$L,0)),"")</f>
        <v/>
      </c>
      <c r="AF69" s="460" t="str">
        <f t="shared" si="1"/>
        <v/>
      </c>
      <c r="AG69" s="459" t="str">
        <f>IFERROR(INDEX(V!$R:$R,MATCH(AH69,V!$L:$L,0)),"")</f>
        <v/>
      </c>
      <c r="AH69" s="460" t="str">
        <f t="shared" si="2"/>
        <v/>
      </c>
      <c r="AI69" s="459" t="str">
        <f>IFERROR(INDEX(V!$R:$R,MATCH(AJ69,V!$L:$L,0)),"")</f>
        <v/>
      </c>
      <c r="AJ69" s="460" t="str">
        <f t="shared" si="3"/>
        <v/>
      </c>
      <c r="AK69" s="459" t="str">
        <f>IFERROR(INDEX(V!$R:$R,MATCH(AL69,V!$L:$L,0)),"")</f>
        <v/>
      </c>
      <c r="AL69" s="460" t="str">
        <f t="shared" si="4"/>
        <v/>
      </c>
      <c r="AM69" s="459" t="str">
        <f>IFERROR(INDEX(V!$R:$R,MATCH(AN69,V!$L:$L,0)),"")</f>
        <v/>
      </c>
      <c r="AN69" s="460" t="str">
        <f t="shared" si="5"/>
        <v/>
      </c>
      <c r="AO69" s="459" t="str">
        <f>IFERROR(INDEX(V!$R:$R,MATCH(AP69,V!$L:$L,0)),"")</f>
        <v/>
      </c>
      <c r="AP69" s="460" t="str">
        <f t="shared" si="6"/>
        <v/>
      </c>
    </row>
    <row r="70" spans="1:42"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58">
        <f t="shared" si="11"/>
        <v>0</v>
      </c>
      <c r="AE70" s="459" t="str">
        <f>IFERROR(INDEX(V!$R:$R,MATCH(AF70,V!$L:$L,0)),"")</f>
        <v/>
      </c>
      <c r="AF70" s="460" t="str">
        <f t="shared" si="1"/>
        <v/>
      </c>
      <c r="AG70" s="459" t="str">
        <f>IFERROR(INDEX(V!$R:$R,MATCH(AH70,V!$L:$L,0)),"")</f>
        <v/>
      </c>
      <c r="AH70" s="460" t="str">
        <f t="shared" si="2"/>
        <v/>
      </c>
      <c r="AI70" s="459" t="str">
        <f>IFERROR(INDEX(V!$R:$R,MATCH(AJ70,V!$L:$L,0)),"")</f>
        <v/>
      </c>
      <c r="AJ70" s="460" t="str">
        <f t="shared" si="3"/>
        <v/>
      </c>
      <c r="AK70" s="459" t="str">
        <f>IFERROR(INDEX(V!$R:$R,MATCH(AL70,V!$L:$L,0)),"")</f>
        <v/>
      </c>
      <c r="AL70" s="460" t="str">
        <f t="shared" si="4"/>
        <v/>
      </c>
      <c r="AM70" s="459" t="str">
        <f>IFERROR(INDEX(V!$R:$R,MATCH(AN70,V!$L:$L,0)),"")</f>
        <v/>
      </c>
      <c r="AN70" s="460" t="str">
        <f t="shared" si="5"/>
        <v/>
      </c>
      <c r="AO70" s="459" t="str">
        <f>IFERROR(INDEX(V!$R:$R,MATCH(AP70,V!$L:$L,0)),"")</f>
        <v/>
      </c>
      <c r="AP70" s="460" t="str">
        <f t="shared" si="6"/>
        <v/>
      </c>
    </row>
    <row r="71" spans="1:42"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58">
        <f t="shared" si="11"/>
        <v>0</v>
      </c>
      <c r="AE71" s="459" t="str">
        <f>IFERROR(INDEX(V!$R:$R,MATCH(AF71,V!$L:$L,0)),"")</f>
        <v/>
      </c>
      <c r="AF71" s="460" t="str">
        <f t="shared" ref="AF71:AF134" si="12">IFERROR(LEFT($B71,(FIND(",",$B71,1)-1)),"")</f>
        <v/>
      </c>
      <c r="AG71" s="459" t="str">
        <f>IFERROR(INDEX(V!$R:$R,MATCH(AH71,V!$L:$L,0)),"")</f>
        <v/>
      </c>
      <c r="AH71" s="460" t="str">
        <f t="shared" ref="AH71:AH134" si="13">IFERROR(MID($B71,FIND(", ",$B71)+2,256),"")</f>
        <v/>
      </c>
      <c r="AI71" s="459" t="str">
        <f>IFERROR(INDEX(V!$R:$R,MATCH(AJ71,V!$L:$L,0)),"")</f>
        <v/>
      </c>
      <c r="AJ71" s="460" t="str">
        <f t="shared" ref="AJ71:AJ134" si="14">IFERROR(MID($B71,FIND("^",SUBSTITUTE($B71,", ","^",1))+2,FIND("^",SUBSTITUTE($B71,", ","^",2))-FIND("^",SUBSTITUTE($B71,", ","^",1))-2),"")</f>
        <v/>
      </c>
      <c r="AK71" s="459" t="str">
        <f>IFERROR(INDEX(V!$R:$R,MATCH(AL71,V!$L:$L,0)),"")</f>
        <v/>
      </c>
      <c r="AL71" s="460" t="str">
        <f t="shared" ref="AL71:AL134" si="15">IFERROR(MID($B71,FIND(", ",$B71,FIND(", ",$B71,FIND(", ",$B71))+1)+2,30000),"")</f>
        <v/>
      </c>
      <c r="AM71" s="459" t="str">
        <f>IFERROR(INDEX(V!$R:$R,MATCH(AN71,V!$L:$L,0)),"")</f>
        <v/>
      </c>
      <c r="AN71" s="460" t="str">
        <f t="shared" ref="AN71:AN134" si="16">IFERROR(MID($B71,FIND(", ",$B71,FIND(", ",$B71)+1)+2,FIND(", ",$B71,FIND(", ",$B71,FIND(", ",$B71)+1)+1)-FIND(", ",$B71,FIND(", ",$B71)+1)-2),"")</f>
        <v/>
      </c>
      <c r="AO71" s="459" t="str">
        <f>IFERROR(INDEX(V!$R:$R,MATCH(AP71,V!$L:$L,0)),"")</f>
        <v/>
      </c>
      <c r="AP71" s="460" t="str">
        <f t="shared" ref="AP71:AP134" si="17">IFERROR(MID($B71,FIND(", ",$B71,FIND(", ",$B71,FIND(", ",$B71)+1)+1)+2,30000),"")</f>
        <v/>
      </c>
    </row>
    <row r="72" spans="1:42"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58">
        <f t="shared" si="11"/>
        <v>0</v>
      </c>
      <c r="AE72" s="459" t="str">
        <f>IFERROR(INDEX(V!$R:$R,MATCH(AF72,V!$L:$L,0)),"")</f>
        <v/>
      </c>
      <c r="AF72" s="460" t="str">
        <f t="shared" si="12"/>
        <v/>
      </c>
      <c r="AG72" s="459" t="str">
        <f>IFERROR(INDEX(V!$R:$R,MATCH(AH72,V!$L:$L,0)),"")</f>
        <v/>
      </c>
      <c r="AH72" s="460" t="str">
        <f t="shared" si="13"/>
        <v/>
      </c>
      <c r="AI72" s="459" t="str">
        <f>IFERROR(INDEX(V!$R:$R,MATCH(AJ72,V!$L:$L,0)),"")</f>
        <v/>
      </c>
      <c r="AJ72" s="460" t="str">
        <f t="shared" si="14"/>
        <v/>
      </c>
      <c r="AK72" s="459" t="str">
        <f>IFERROR(INDEX(V!$R:$R,MATCH(AL72,V!$L:$L,0)),"")</f>
        <v/>
      </c>
      <c r="AL72" s="460" t="str">
        <f t="shared" si="15"/>
        <v/>
      </c>
      <c r="AM72" s="459" t="str">
        <f>IFERROR(INDEX(V!$R:$R,MATCH(AN72,V!$L:$L,0)),"")</f>
        <v/>
      </c>
      <c r="AN72" s="460" t="str">
        <f t="shared" si="16"/>
        <v/>
      </c>
      <c r="AO72" s="459" t="str">
        <f>IFERROR(INDEX(V!$R:$R,MATCH(AP72,V!$L:$L,0)),"")</f>
        <v/>
      </c>
      <c r="AP72" s="460" t="str">
        <f t="shared" si="17"/>
        <v/>
      </c>
    </row>
    <row r="73" spans="1:42"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58">
        <f t="shared" si="11"/>
        <v>0</v>
      </c>
      <c r="AE73" s="459" t="str">
        <f>IFERROR(INDEX(V!$R:$R,MATCH(AF73,V!$L:$L,0)),"")</f>
        <v/>
      </c>
      <c r="AF73" s="460" t="str">
        <f t="shared" si="12"/>
        <v/>
      </c>
      <c r="AG73" s="459" t="str">
        <f>IFERROR(INDEX(V!$R:$R,MATCH(AH73,V!$L:$L,0)),"")</f>
        <v/>
      </c>
      <c r="AH73" s="460" t="str">
        <f t="shared" si="13"/>
        <v/>
      </c>
      <c r="AI73" s="459" t="str">
        <f>IFERROR(INDEX(V!$R:$R,MATCH(AJ73,V!$L:$L,0)),"")</f>
        <v/>
      </c>
      <c r="AJ73" s="460" t="str">
        <f t="shared" si="14"/>
        <v/>
      </c>
      <c r="AK73" s="459" t="str">
        <f>IFERROR(INDEX(V!$R:$R,MATCH(AL73,V!$L:$L,0)),"")</f>
        <v/>
      </c>
      <c r="AL73" s="460" t="str">
        <f t="shared" si="15"/>
        <v/>
      </c>
      <c r="AM73" s="459" t="str">
        <f>IFERROR(INDEX(V!$R:$R,MATCH(AN73,V!$L:$L,0)),"")</f>
        <v/>
      </c>
      <c r="AN73" s="460" t="str">
        <f t="shared" si="16"/>
        <v/>
      </c>
      <c r="AO73" s="459" t="str">
        <f>IFERROR(INDEX(V!$R:$R,MATCH(AP73,V!$L:$L,0)),"")</f>
        <v/>
      </c>
      <c r="AP73" s="460" t="str">
        <f t="shared" si="17"/>
        <v/>
      </c>
    </row>
    <row r="74" spans="1:42"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58">
        <f t="shared" si="11"/>
        <v>0</v>
      </c>
      <c r="AE74" s="459" t="str">
        <f>IFERROR(INDEX(V!$R:$R,MATCH(AF74,V!$L:$L,0)),"")</f>
        <v/>
      </c>
      <c r="AF74" s="460" t="str">
        <f t="shared" si="12"/>
        <v/>
      </c>
      <c r="AG74" s="459" t="str">
        <f>IFERROR(INDEX(V!$R:$R,MATCH(AH74,V!$L:$L,0)),"")</f>
        <v/>
      </c>
      <c r="AH74" s="460" t="str">
        <f t="shared" si="13"/>
        <v/>
      </c>
      <c r="AI74" s="459" t="str">
        <f>IFERROR(INDEX(V!$R:$R,MATCH(AJ74,V!$L:$L,0)),"")</f>
        <v/>
      </c>
      <c r="AJ74" s="460" t="str">
        <f t="shared" si="14"/>
        <v/>
      </c>
      <c r="AK74" s="459" t="str">
        <f>IFERROR(INDEX(V!$R:$R,MATCH(AL74,V!$L:$L,0)),"")</f>
        <v/>
      </c>
      <c r="AL74" s="460" t="str">
        <f t="shared" si="15"/>
        <v/>
      </c>
      <c r="AM74" s="459" t="str">
        <f>IFERROR(INDEX(V!$R:$R,MATCH(AN74,V!$L:$L,0)),"")</f>
        <v/>
      </c>
      <c r="AN74" s="460" t="str">
        <f t="shared" si="16"/>
        <v/>
      </c>
      <c r="AO74" s="459" t="str">
        <f>IFERROR(INDEX(V!$R:$R,MATCH(AP74,V!$L:$L,0)),"")</f>
        <v/>
      </c>
      <c r="AP74" s="460" t="str">
        <f t="shared" si="17"/>
        <v/>
      </c>
    </row>
    <row r="75" spans="1:42"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58">
        <f t="shared" si="11"/>
        <v>0</v>
      </c>
      <c r="AE75" s="459" t="str">
        <f>IFERROR(INDEX(V!$R:$R,MATCH(AF75,V!$L:$L,0)),"")</f>
        <v/>
      </c>
      <c r="AF75" s="460" t="str">
        <f t="shared" si="12"/>
        <v/>
      </c>
      <c r="AG75" s="459" t="str">
        <f>IFERROR(INDEX(V!$R:$R,MATCH(AH75,V!$L:$L,0)),"")</f>
        <v/>
      </c>
      <c r="AH75" s="460" t="str">
        <f t="shared" si="13"/>
        <v/>
      </c>
      <c r="AI75" s="459" t="str">
        <f>IFERROR(INDEX(V!$R:$R,MATCH(AJ75,V!$L:$L,0)),"")</f>
        <v/>
      </c>
      <c r="AJ75" s="460" t="str">
        <f t="shared" si="14"/>
        <v/>
      </c>
      <c r="AK75" s="459" t="str">
        <f>IFERROR(INDEX(V!$R:$R,MATCH(AL75,V!$L:$L,0)),"")</f>
        <v/>
      </c>
      <c r="AL75" s="460" t="str">
        <f t="shared" si="15"/>
        <v/>
      </c>
      <c r="AM75" s="459" t="str">
        <f>IFERROR(INDEX(V!$R:$R,MATCH(AN75,V!$L:$L,0)),"")</f>
        <v/>
      </c>
      <c r="AN75" s="460" t="str">
        <f t="shared" si="16"/>
        <v/>
      </c>
      <c r="AO75" s="459" t="str">
        <f>IFERROR(INDEX(V!$R:$R,MATCH(AP75,V!$L:$L,0)),"")</f>
        <v/>
      </c>
      <c r="AP75" s="460" t="str">
        <f t="shared" si="17"/>
        <v/>
      </c>
    </row>
    <row r="76" spans="1:42"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58">
        <f t="shared" si="11"/>
        <v>0</v>
      </c>
      <c r="AE76" s="459" t="str">
        <f>IFERROR(INDEX(V!$R:$R,MATCH(AF76,V!$L:$L,0)),"")</f>
        <v/>
      </c>
      <c r="AF76" s="460" t="str">
        <f t="shared" si="12"/>
        <v/>
      </c>
      <c r="AG76" s="459" t="str">
        <f>IFERROR(INDEX(V!$R:$R,MATCH(AH76,V!$L:$L,0)),"")</f>
        <v/>
      </c>
      <c r="AH76" s="460" t="str">
        <f t="shared" si="13"/>
        <v/>
      </c>
      <c r="AI76" s="459" t="str">
        <f>IFERROR(INDEX(V!$R:$R,MATCH(AJ76,V!$L:$L,0)),"")</f>
        <v/>
      </c>
      <c r="AJ76" s="460" t="str">
        <f t="shared" si="14"/>
        <v/>
      </c>
      <c r="AK76" s="459" t="str">
        <f>IFERROR(INDEX(V!$R:$R,MATCH(AL76,V!$L:$L,0)),"")</f>
        <v/>
      </c>
      <c r="AL76" s="460" t="str">
        <f t="shared" si="15"/>
        <v/>
      </c>
      <c r="AM76" s="459" t="str">
        <f>IFERROR(INDEX(V!$R:$R,MATCH(AN76,V!$L:$L,0)),"")</f>
        <v/>
      </c>
      <c r="AN76" s="460" t="str">
        <f t="shared" si="16"/>
        <v/>
      </c>
      <c r="AO76" s="459" t="str">
        <f>IFERROR(INDEX(V!$R:$R,MATCH(AP76,V!$L:$L,0)),"")</f>
        <v/>
      </c>
      <c r="AP76" s="460" t="str">
        <f t="shared" si="17"/>
        <v/>
      </c>
    </row>
    <row r="77" spans="1:42"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58">
        <f t="shared" si="11"/>
        <v>0</v>
      </c>
      <c r="AE77" s="459" t="str">
        <f>IFERROR(INDEX(V!$R:$R,MATCH(AF77,V!$L:$L,0)),"")</f>
        <v/>
      </c>
      <c r="AF77" s="460" t="str">
        <f t="shared" si="12"/>
        <v/>
      </c>
      <c r="AG77" s="459" t="str">
        <f>IFERROR(INDEX(V!$R:$R,MATCH(AH77,V!$L:$L,0)),"")</f>
        <v/>
      </c>
      <c r="AH77" s="460" t="str">
        <f t="shared" si="13"/>
        <v/>
      </c>
      <c r="AI77" s="459" t="str">
        <f>IFERROR(INDEX(V!$R:$R,MATCH(AJ77,V!$L:$L,0)),"")</f>
        <v/>
      </c>
      <c r="AJ77" s="460" t="str">
        <f t="shared" si="14"/>
        <v/>
      </c>
      <c r="AK77" s="459" t="str">
        <f>IFERROR(INDEX(V!$R:$R,MATCH(AL77,V!$L:$L,0)),"")</f>
        <v/>
      </c>
      <c r="AL77" s="460" t="str">
        <f t="shared" si="15"/>
        <v/>
      </c>
      <c r="AM77" s="459" t="str">
        <f>IFERROR(INDEX(V!$R:$R,MATCH(AN77,V!$L:$L,0)),"")</f>
        <v/>
      </c>
      <c r="AN77" s="460" t="str">
        <f t="shared" si="16"/>
        <v/>
      </c>
      <c r="AO77" s="459" t="str">
        <f>IFERROR(INDEX(V!$R:$R,MATCH(AP77,V!$L:$L,0)),"")</f>
        <v/>
      </c>
      <c r="AP77" s="460" t="str">
        <f t="shared" si="17"/>
        <v/>
      </c>
    </row>
    <row r="78" spans="1:42"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58">
        <f t="shared" si="11"/>
        <v>0</v>
      </c>
      <c r="AE78" s="459" t="str">
        <f>IFERROR(INDEX(V!$R:$R,MATCH(AF78,V!$L:$L,0)),"")</f>
        <v/>
      </c>
      <c r="AF78" s="460" t="str">
        <f t="shared" si="12"/>
        <v/>
      </c>
      <c r="AG78" s="459" t="str">
        <f>IFERROR(INDEX(V!$R:$R,MATCH(AH78,V!$L:$L,0)),"")</f>
        <v/>
      </c>
      <c r="AH78" s="460" t="str">
        <f t="shared" si="13"/>
        <v/>
      </c>
      <c r="AI78" s="459" t="str">
        <f>IFERROR(INDEX(V!$R:$R,MATCH(AJ78,V!$L:$L,0)),"")</f>
        <v/>
      </c>
      <c r="AJ78" s="460" t="str">
        <f t="shared" si="14"/>
        <v/>
      </c>
      <c r="AK78" s="459" t="str">
        <f>IFERROR(INDEX(V!$R:$R,MATCH(AL78,V!$L:$L,0)),"")</f>
        <v/>
      </c>
      <c r="AL78" s="460" t="str">
        <f t="shared" si="15"/>
        <v/>
      </c>
      <c r="AM78" s="459" t="str">
        <f>IFERROR(INDEX(V!$R:$R,MATCH(AN78,V!$L:$L,0)),"")</f>
        <v/>
      </c>
      <c r="AN78" s="460" t="str">
        <f t="shared" si="16"/>
        <v/>
      </c>
      <c r="AO78" s="459" t="str">
        <f>IFERROR(INDEX(V!$R:$R,MATCH(AP78,V!$L:$L,0)),"")</f>
        <v/>
      </c>
      <c r="AP78" s="460" t="str">
        <f t="shared" si="17"/>
        <v/>
      </c>
    </row>
    <row r="79" spans="1:42"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58">
        <f t="shared" si="11"/>
        <v>0</v>
      </c>
      <c r="AE79" s="459" t="str">
        <f>IFERROR(INDEX(V!$R:$R,MATCH(AF79,V!$L:$L,0)),"")</f>
        <v/>
      </c>
      <c r="AF79" s="460" t="str">
        <f t="shared" si="12"/>
        <v/>
      </c>
      <c r="AG79" s="459" t="str">
        <f>IFERROR(INDEX(V!$R:$R,MATCH(AH79,V!$L:$L,0)),"")</f>
        <v/>
      </c>
      <c r="AH79" s="460" t="str">
        <f t="shared" si="13"/>
        <v/>
      </c>
      <c r="AI79" s="459" t="str">
        <f>IFERROR(INDEX(V!$R:$R,MATCH(AJ79,V!$L:$L,0)),"")</f>
        <v/>
      </c>
      <c r="AJ79" s="460" t="str">
        <f t="shared" si="14"/>
        <v/>
      </c>
      <c r="AK79" s="459" t="str">
        <f>IFERROR(INDEX(V!$R:$R,MATCH(AL79,V!$L:$L,0)),"")</f>
        <v/>
      </c>
      <c r="AL79" s="460" t="str">
        <f t="shared" si="15"/>
        <v/>
      </c>
      <c r="AM79" s="459" t="str">
        <f>IFERROR(INDEX(V!$R:$R,MATCH(AN79,V!$L:$L,0)),"")</f>
        <v/>
      </c>
      <c r="AN79" s="460" t="str">
        <f t="shared" si="16"/>
        <v/>
      </c>
      <c r="AO79" s="459" t="str">
        <f>IFERROR(INDEX(V!$R:$R,MATCH(AP79,V!$L:$L,0)),"")</f>
        <v/>
      </c>
      <c r="AP79" s="460" t="str">
        <f t="shared" si="17"/>
        <v/>
      </c>
    </row>
    <row r="80" spans="1:42"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58">
        <f t="shared" si="11"/>
        <v>0</v>
      </c>
      <c r="AE80" s="459" t="str">
        <f>IFERROR(INDEX(V!$R:$R,MATCH(AF80,V!$L:$L,0)),"")</f>
        <v/>
      </c>
      <c r="AF80" s="460" t="str">
        <f t="shared" si="12"/>
        <v/>
      </c>
      <c r="AG80" s="459" t="str">
        <f>IFERROR(INDEX(V!$R:$R,MATCH(AH80,V!$L:$L,0)),"")</f>
        <v/>
      </c>
      <c r="AH80" s="460" t="str">
        <f t="shared" si="13"/>
        <v/>
      </c>
      <c r="AI80" s="459" t="str">
        <f>IFERROR(INDEX(V!$R:$R,MATCH(AJ80,V!$L:$L,0)),"")</f>
        <v/>
      </c>
      <c r="AJ80" s="460" t="str">
        <f t="shared" si="14"/>
        <v/>
      </c>
      <c r="AK80" s="459" t="str">
        <f>IFERROR(INDEX(V!$R:$R,MATCH(AL80,V!$L:$L,0)),"")</f>
        <v/>
      </c>
      <c r="AL80" s="460" t="str">
        <f t="shared" si="15"/>
        <v/>
      </c>
      <c r="AM80" s="459" t="str">
        <f>IFERROR(INDEX(V!$R:$R,MATCH(AN80,V!$L:$L,0)),"")</f>
        <v/>
      </c>
      <c r="AN80" s="460" t="str">
        <f t="shared" si="16"/>
        <v/>
      </c>
      <c r="AO80" s="459" t="str">
        <f>IFERROR(INDEX(V!$R:$R,MATCH(AP80,V!$L:$L,0)),"")</f>
        <v/>
      </c>
      <c r="AP80" s="460" t="str">
        <f t="shared" si="17"/>
        <v/>
      </c>
    </row>
    <row r="81" spans="1:42"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58">
        <f t="shared" si="11"/>
        <v>0</v>
      </c>
      <c r="AE81" s="459" t="str">
        <f>IFERROR(INDEX(V!$R:$R,MATCH(AF81,V!$L:$L,0)),"")</f>
        <v/>
      </c>
      <c r="AF81" s="460" t="str">
        <f t="shared" si="12"/>
        <v/>
      </c>
      <c r="AG81" s="459" t="str">
        <f>IFERROR(INDEX(V!$R:$R,MATCH(AH81,V!$L:$L,0)),"")</f>
        <v/>
      </c>
      <c r="AH81" s="460" t="str">
        <f t="shared" si="13"/>
        <v/>
      </c>
      <c r="AI81" s="459" t="str">
        <f>IFERROR(INDEX(V!$R:$R,MATCH(AJ81,V!$L:$L,0)),"")</f>
        <v/>
      </c>
      <c r="AJ81" s="460" t="str">
        <f t="shared" si="14"/>
        <v/>
      </c>
      <c r="AK81" s="459" t="str">
        <f>IFERROR(INDEX(V!$R:$R,MATCH(AL81,V!$L:$L,0)),"")</f>
        <v/>
      </c>
      <c r="AL81" s="460" t="str">
        <f t="shared" si="15"/>
        <v/>
      </c>
      <c r="AM81" s="459" t="str">
        <f>IFERROR(INDEX(V!$R:$R,MATCH(AN81,V!$L:$L,0)),"")</f>
        <v/>
      </c>
      <c r="AN81" s="460" t="str">
        <f t="shared" si="16"/>
        <v/>
      </c>
      <c r="AO81" s="459" t="str">
        <f>IFERROR(INDEX(V!$R:$R,MATCH(AP81,V!$L:$L,0)),"")</f>
        <v/>
      </c>
      <c r="AP81" s="460" t="str">
        <f t="shared" si="17"/>
        <v/>
      </c>
    </row>
    <row r="82" spans="1:42"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58">
        <f t="shared" si="11"/>
        <v>0</v>
      </c>
      <c r="AE82" s="459" t="str">
        <f>IFERROR(INDEX(V!$R:$R,MATCH(AF82,V!$L:$L,0)),"")</f>
        <v/>
      </c>
      <c r="AF82" s="460" t="str">
        <f t="shared" si="12"/>
        <v/>
      </c>
      <c r="AG82" s="459" t="str">
        <f>IFERROR(INDEX(V!$R:$R,MATCH(AH82,V!$L:$L,0)),"")</f>
        <v/>
      </c>
      <c r="AH82" s="460" t="str">
        <f t="shared" si="13"/>
        <v/>
      </c>
      <c r="AI82" s="459" t="str">
        <f>IFERROR(INDEX(V!$R:$R,MATCH(AJ82,V!$L:$L,0)),"")</f>
        <v/>
      </c>
      <c r="AJ82" s="460" t="str">
        <f t="shared" si="14"/>
        <v/>
      </c>
      <c r="AK82" s="459" t="str">
        <f>IFERROR(INDEX(V!$R:$R,MATCH(AL82,V!$L:$L,0)),"")</f>
        <v/>
      </c>
      <c r="AL82" s="460" t="str">
        <f t="shared" si="15"/>
        <v/>
      </c>
      <c r="AM82" s="459" t="str">
        <f>IFERROR(INDEX(V!$R:$R,MATCH(AN82,V!$L:$L,0)),"")</f>
        <v/>
      </c>
      <c r="AN82" s="460" t="str">
        <f t="shared" si="16"/>
        <v/>
      </c>
      <c r="AO82" s="459" t="str">
        <f>IFERROR(INDEX(V!$R:$R,MATCH(AP82,V!$L:$L,0)),"")</f>
        <v/>
      </c>
      <c r="AP82" s="460" t="str">
        <f t="shared" si="17"/>
        <v/>
      </c>
    </row>
    <row r="83" spans="1:42"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58">
        <f t="shared" ref="AD83:AD146" si="18">SUM(AE83:AP83)</f>
        <v>0</v>
      </c>
      <c r="AE83" s="459" t="str">
        <f>IFERROR(INDEX(V!$R:$R,MATCH(AF83,V!$L:$L,0)),"")</f>
        <v/>
      </c>
      <c r="AF83" s="460" t="str">
        <f t="shared" si="12"/>
        <v/>
      </c>
      <c r="AG83" s="459" t="str">
        <f>IFERROR(INDEX(V!$R:$R,MATCH(AH83,V!$L:$L,0)),"")</f>
        <v/>
      </c>
      <c r="AH83" s="460" t="str">
        <f t="shared" si="13"/>
        <v/>
      </c>
      <c r="AI83" s="459" t="str">
        <f>IFERROR(INDEX(V!$R:$R,MATCH(AJ83,V!$L:$L,0)),"")</f>
        <v/>
      </c>
      <c r="AJ83" s="460" t="str">
        <f t="shared" si="14"/>
        <v/>
      </c>
      <c r="AK83" s="459" t="str">
        <f>IFERROR(INDEX(V!$R:$R,MATCH(AL83,V!$L:$L,0)),"")</f>
        <v/>
      </c>
      <c r="AL83" s="460" t="str">
        <f t="shared" si="15"/>
        <v/>
      </c>
      <c r="AM83" s="459" t="str">
        <f>IFERROR(INDEX(V!$R:$R,MATCH(AN83,V!$L:$L,0)),"")</f>
        <v/>
      </c>
      <c r="AN83" s="460" t="str">
        <f t="shared" si="16"/>
        <v/>
      </c>
      <c r="AO83" s="459" t="str">
        <f>IFERROR(INDEX(V!$R:$R,MATCH(AP83,V!$L:$L,0)),"")</f>
        <v/>
      </c>
      <c r="AP83" s="460" t="str">
        <f t="shared" si="17"/>
        <v/>
      </c>
    </row>
    <row r="84" spans="1:42"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58">
        <f t="shared" si="18"/>
        <v>0</v>
      </c>
      <c r="AE84" s="459" t="str">
        <f>IFERROR(INDEX(V!$R:$R,MATCH(AF84,V!$L:$L,0)),"")</f>
        <v/>
      </c>
      <c r="AF84" s="460" t="str">
        <f t="shared" si="12"/>
        <v/>
      </c>
      <c r="AG84" s="459" t="str">
        <f>IFERROR(INDEX(V!$R:$R,MATCH(AH84,V!$L:$L,0)),"")</f>
        <v/>
      </c>
      <c r="AH84" s="460" t="str">
        <f t="shared" si="13"/>
        <v/>
      </c>
      <c r="AI84" s="459" t="str">
        <f>IFERROR(INDEX(V!$R:$R,MATCH(AJ84,V!$L:$L,0)),"")</f>
        <v/>
      </c>
      <c r="AJ84" s="460" t="str">
        <f t="shared" si="14"/>
        <v/>
      </c>
      <c r="AK84" s="459" t="str">
        <f>IFERROR(INDEX(V!$R:$R,MATCH(AL84,V!$L:$L,0)),"")</f>
        <v/>
      </c>
      <c r="AL84" s="460" t="str">
        <f t="shared" si="15"/>
        <v/>
      </c>
      <c r="AM84" s="459" t="str">
        <f>IFERROR(INDEX(V!$R:$R,MATCH(AN84,V!$L:$L,0)),"")</f>
        <v/>
      </c>
      <c r="AN84" s="460" t="str">
        <f t="shared" si="16"/>
        <v/>
      </c>
      <c r="AO84" s="459" t="str">
        <f>IFERROR(INDEX(V!$R:$R,MATCH(AP84,V!$L:$L,0)),"")</f>
        <v/>
      </c>
      <c r="AP84" s="460" t="str">
        <f t="shared" si="17"/>
        <v/>
      </c>
    </row>
    <row r="85" spans="1:42"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58">
        <f t="shared" si="18"/>
        <v>0</v>
      </c>
      <c r="AE85" s="459" t="str">
        <f>IFERROR(INDEX(V!$R:$R,MATCH(AF85,V!$L:$L,0)),"")</f>
        <v/>
      </c>
      <c r="AF85" s="460" t="str">
        <f t="shared" si="12"/>
        <v/>
      </c>
      <c r="AG85" s="459" t="str">
        <f>IFERROR(INDEX(V!$R:$R,MATCH(AH85,V!$L:$L,0)),"")</f>
        <v/>
      </c>
      <c r="AH85" s="460" t="str">
        <f t="shared" si="13"/>
        <v/>
      </c>
      <c r="AI85" s="459" t="str">
        <f>IFERROR(INDEX(V!$R:$R,MATCH(AJ85,V!$L:$L,0)),"")</f>
        <v/>
      </c>
      <c r="AJ85" s="460" t="str">
        <f t="shared" si="14"/>
        <v/>
      </c>
      <c r="AK85" s="459" t="str">
        <f>IFERROR(INDEX(V!$R:$R,MATCH(AL85,V!$L:$L,0)),"")</f>
        <v/>
      </c>
      <c r="AL85" s="460" t="str">
        <f t="shared" si="15"/>
        <v/>
      </c>
      <c r="AM85" s="459" t="str">
        <f>IFERROR(INDEX(V!$R:$R,MATCH(AN85,V!$L:$L,0)),"")</f>
        <v/>
      </c>
      <c r="AN85" s="460" t="str">
        <f t="shared" si="16"/>
        <v/>
      </c>
      <c r="AO85" s="459" t="str">
        <f>IFERROR(INDEX(V!$R:$R,MATCH(AP85,V!$L:$L,0)),"")</f>
        <v/>
      </c>
      <c r="AP85" s="460" t="str">
        <f t="shared" si="17"/>
        <v/>
      </c>
    </row>
    <row r="86" spans="1:42"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58">
        <f t="shared" si="18"/>
        <v>0</v>
      </c>
      <c r="AE86" s="459" t="str">
        <f>IFERROR(INDEX(V!$R:$R,MATCH(AF86,V!$L:$L,0)),"")</f>
        <v/>
      </c>
      <c r="AF86" s="460" t="str">
        <f t="shared" si="12"/>
        <v/>
      </c>
      <c r="AG86" s="459" t="str">
        <f>IFERROR(INDEX(V!$R:$R,MATCH(AH86,V!$L:$L,0)),"")</f>
        <v/>
      </c>
      <c r="AH86" s="460" t="str">
        <f t="shared" si="13"/>
        <v/>
      </c>
      <c r="AI86" s="459" t="str">
        <f>IFERROR(INDEX(V!$R:$R,MATCH(AJ86,V!$L:$L,0)),"")</f>
        <v/>
      </c>
      <c r="AJ86" s="460" t="str">
        <f t="shared" si="14"/>
        <v/>
      </c>
      <c r="AK86" s="459" t="str">
        <f>IFERROR(INDEX(V!$R:$R,MATCH(AL86,V!$L:$L,0)),"")</f>
        <v/>
      </c>
      <c r="AL86" s="460" t="str">
        <f t="shared" si="15"/>
        <v/>
      </c>
      <c r="AM86" s="459" t="str">
        <f>IFERROR(INDEX(V!$R:$R,MATCH(AN86,V!$L:$L,0)),"")</f>
        <v/>
      </c>
      <c r="AN86" s="460" t="str">
        <f t="shared" si="16"/>
        <v/>
      </c>
      <c r="AO86" s="459" t="str">
        <f>IFERROR(INDEX(V!$R:$R,MATCH(AP86,V!$L:$L,0)),"")</f>
        <v/>
      </c>
      <c r="AP86" s="460" t="str">
        <f t="shared" si="17"/>
        <v/>
      </c>
    </row>
    <row r="87" spans="1:42"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58">
        <f t="shared" si="18"/>
        <v>0</v>
      </c>
      <c r="AE87" s="459" t="str">
        <f>IFERROR(INDEX(V!$R:$R,MATCH(AF87,V!$L:$L,0)),"")</f>
        <v/>
      </c>
      <c r="AF87" s="460" t="str">
        <f t="shared" si="12"/>
        <v/>
      </c>
      <c r="AG87" s="459" t="str">
        <f>IFERROR(INDEX(V!$R:$R,MATCH(AH87,V!$L:$L,0)),"")</f>
        <v/>
      </c>
      <c r="AH87" s="460" t="str">
        <f t="shared" si="13"/>
        <v/>
      </c>
      <c r="AI87" s="459" t="str">
        <f>IFERROR(INDEX(V!$R:$R,MATCH(AJ87,V!$L:$L,0)),"")</f>
        <v/>
      </c>
      <c r="AJ87" s="460" t="str">
        <f t="shared" si="14"/>
        <v/>
      </c>
      <c r="AK87" s="459" t="str">
        <f>IFERROR(INDEX(V!$R:$R,MATCH(AL87,V!$L:$L,0)),"")</f>
        <v/>
      </c>
      <c r="AL87" s="460" t="str">
        <f t="shared" si="15"/>
        <v/>
      </c>
      <c r="AM87" s="459" t="str">
        <f>IFERROR(INDEX(V!$R:$R,MATCH(AN87,V!$L:$L,0)),"")</f>
        <v/>
      </c>
      <c r="AN87" s="460" t="str">
        <f t="shared" si="16"/>
        <v/>
      </c>
      <c r="AO87" s="459" t="str">
        <f>IFERROR(INDEX(V!$R:$R,MATCH(AP87,V!$L:$L,0)),"")</f>
        <v/>
      </c>
      <c r="AP87" s="460" t="str">
        <f t="shared" si="17"/>
        <v/>
      </c>
    </row>
    <row r="88" spans="1:42"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58">
        <f t="shared" si="18"/>
        <v>0</v>
      </c>
      <c r="AE88" s="459" t="str">
        <f>IFERROR(INDEX(V!$R:$R,MATCH(AF88,V!$L:$L,0)),"")</f>
        <v/>
      </c>
      <c r="AF88" s="460" t="str">
        <f t="shared" si="12"/>
        <v/>
      </c>
      <c r="AG88" s="459" t="str">
        <f>IFERROR(INDEX(V!$R:$R,MATCH(AH88,V!$L:$L,0)),"")</f>
        <v/>
      </c>
      <c r="AH88" s="460" t="str">
        <f t="shared" si="13"/>
        <v/>
      </c>
      <c r="AI88" s="459" t="str">
        <f>IFERROR(INDEX(V!$R:$R,MATCH(AJ88,V!$L:$L,0)),"")</f>
        <v/>
      </c>
      <c r="AJ88" s="460" t="str">
        <f t="shared" si="14"/>
        <v/>
      </c>
      <c r="AK88" s="459" t="str">
        <f>IFERROR(INDEX(V!$R:$R,MATCH(AL88,V!$L:$L,0)),"")</f>
        <v/>
      </c>
      <c r="AL88" s="460" t="str">
        <f t="shared" si="15"/>
        <v/>
      </c>
      <c r="AM88" s="459" t="str">
        <f>IFERROR(INDEX(V!$R:$R,MATCH(AN88,V!$L:$L,0)),"")</f>
        <v/>
      </c>
      <c r="AN88" s="460" t="str">
        <f t="shared" si="16"/>
        <v/>
      </c>
      <c r="AO88" s="459" t="str">
        <f>IFERROR(INDEX(V!$R:$R,MATCH(AP88,V!$L:$L,0)),"")</f>
        <v/>
      </c>
      <c r="AP88" s="460" t="str">
        <f t="shared" si="17"/>
        <v/>
      </c>
    </row>
    <row r="89" spans="1:42"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58">
        <f t="shared" si="18"/>
        <v>0</v>
      </c>
      <c r="AE89" s="459" t="str">
        <f>IFERROR(INDEX(V!$R:$R,MATCH(AF89,V!$L:$L,0)),"")</f>
        <v/>
      </c>
      <c r="AF89" s="460" t="str">
        <f t="shared" si="12"/>
        <v/>
      </c>
      <c r="AG89" s="459" t="str">
        <f>IFERROR(INDEX(V!$R:$R,MATCH(AH89,V!$L:$L,0)),"")</f>
        <v/>
      </c>
      <c r="AH89" s="460" t="str">
        <f t="shared" si="13"/>
        <v/>
      </c>
      <c r="AI89" s="459" t="str">
        <f>IFERROR(INDEX(V!$R:$R,MATCH(AJ89,V!$L:$L,0)),"")</f>
        <v/>
      </c>
      <c r="AJ89" s="460" t="str">
        <f t="shared" si="14"/>
        <v/>
      </c>
      <c r="AK89" s="459" t="str">
        <f>IFERROR(INDEX(V!$R:$R,MATCH(AL89,V!$L:$L,0)),"")</f>
        <v/>
      </c>
      <c r="AL89" s="460" t="str">
        <f t="shared" si="15"/>
        <v/>
      </c>
      <c r="AM89" s="459" t="str">
        <f>IFERROR(INDEX(V!$R:$R,MATCH(AN89,V!$L:$L,0)),"")</f>
        <v/>
      </c>
      <c r="AN89" s="460" t="str">
        <f t="shared" si="16"/>
        <v/>
      </c>
      <c r="AO89" s="459" t="str">
        <f>IFERROR(INDEX(V!$R:$R,MATCH(AP89,V!$L:$L,0)),"")</f>
        <v/>
      </c>
      <c r="AP89" s="460" t="str">
        <f t="shared" si="17"/>
        <v/>
      </c>
    </row>
    <row r="90" spans="1:42"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58">
        <f t="shared" si="18"/>
        <v>0</v>
      </c>
      <c r="AE90" s="459" t="str">
        <f>IFERROR(INDEX(V!$R:$R,MATCH(AF90,V!$L:$L,0)),"")</f>
        <v/>
      </c>
      <c r="AF90" s="460" t="str">
        <f t="shared" si="12"/>
        <v/>
      </c>
      <c r="AG90" s="459" t="str">
        <f>IFERROR(INDEX(V!$R:$R,MATCH(AH90,V!$L:$L,0)),"")</f>
        <v/>
      </c>
      <c r="AH90" s="460" t="str">
        <f t="shared" si="13"/>
        <v/>
      </c>
      <c r="AI90" s="459" t="str">
        <f>IFERROR(INDEX(V!$R:$R,MATCH(AJ90,V!$L:$L,0)),"")</f>
        <v/>
      </c>
      <c r="AJ90" s="460" t="str">
        <f t="shared" si="14"/>
        <v/>
      </c>
      <c r="AK90" s="459" t="str">
        <f>IFERROR(INDEX(V!$R:$R,MATCH(AL90,V!$L:$L,0)),"")</f>
        <v/>
      </c>
      <c r="AL90" s="460" t="str">
        <f t="shared" si="15"/>
        <v/>
      </c>
      <c r="AM90" s="459" t="str">
        <f>IFERROR(INDEX(V!$R:$R,MATCH(AN90,V!$L:$L,0)),"")</f>
        <v/>
      </c>
      <c r="AN90" s="460" t="str">
        <f t="shared" si="16"/>
        <v/>
      </c>
      <c r="AO90" s="459" t="str">
        <f>IFERROR(INDEX(V!$R:$R,MATCH(AP90,V!$L:$L,0)),"")</f>
        <v/>
      </c>
      <c r="AP90" s="460" t="str">
        <f t="shared" si="17"/>
        <v/>
      </c>
    </row>
    <row r="91" spans="1:42"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58">
        <f t="shared" si="18"/>
        <v>0</v>
      </c>
      <c r="AE91" s="459" t="str">
        <f>IFERROR(INDEX(V!$R:$R,MATCH(AF91,V!$L:$L,0)),"")</f>
        <v/>
      </c>
      <c r="AF91" s="460" t="str">
        <f t="shared" si="12"/>
        <v/>
      </c>
      <c r="AG91" s="459" t="str">
        <f>IFERROR(INDEX(V!$R:$R,MATCH(AH91,V!$L:$L,0)),"")</f>
        <v/>
      </c>
      <c r="AH91" s="460" t="str">
        <f t="shared" si="13"/>
        <v/>
      </c>
      <c r="AI91" s="459" t="str">
        <f>IFERROR(INDEX(V!$R:$R,MATCH(AJ91,V!$L:$L,0)),"")</f>
        <v/>
      </c>
      <c r="AJ91" s="460" t="str">
        <f t="shared" si="14"/>
        <v/>
      </c>
      <c r="AK91" s="459" t="str">
        <f>IFERROR(INDEX(V!$R:$R,MATCH(AL91,V!$L:$L,0)),"")</f>
        <v/>
      </c>
      <c r="AL91" s="460" t="str">
        <f t="shared" si="15"/>
        <v/>
      </c>
      <c r="AM91" s="459" t="str">
        <f>IFERROR(INDEX(V!$R:$R,MATCH(AN91,V!$L:$L,0)),"")</f>
        <v/>
      </c>
      <c r="AN91" s="460" t="str">
        <f t="shared" si="16"/>
        <v/>
      </c>
      <c r="AO91" s="459" t="str">
        <f>IFERROR(INDEX(V!$R:$R,MATCH(AP91,V!$L:$L,0)),"")</f>
        <v/>
      </c>
      <c r="AP91" s="460" t="str">
        <f t="shared" si="17"/>
        <v/>
      </c>
    </row>
    <row r="92" spans="1:42"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58">
        <f t="shared" si="18"/>
        <v>0</v>
      </c>
      <c r="AE92" s="459" t="str">
        <f>IFERROR(INDEX(V!$R:$R,MATCH(AF92,V!$L:$L,0)),"")</f>
        <v/>
      </c>
      <c r="AF92" s="460" t="str">
        <f t="shared" si="12"/>
        <v/>
      </c>
      <c r="AG92" s="459" t="str">
        <f>IFERROR(INDEX(V!$R:$R,MATCH(AH92,V!$L:$L,0)),"")</f>
        <v/>
      </c>
      <c r="AH92" s="460" t="str">
        <f t="shared" si="13"/>
        <v/>
      </c>
      <c r="AI92" s="459" t="str">
        <f>IFERROR(INDEX(V!$R:$R,MATCH(AJ92,V!$L:$L,0)),"")</f>
        <v/>
      </c>
      <c r="AJ92" s="460" t="str">
        <f t="shared" si="14"/>
        <v/>
      </c>
      <c r="AK92" s="459" t="str">
        <f>IFERROR(INDEX(V!$R:$R,MATCH(AL92,V!$L:$L,0)),"")</f>
        <v/>
      </c>
      <c r="AL92" s="460" t="str">
        <f t="shared" si="15"/>
        <v/>
      </c>
      <c r="AM92" s="459" t="str">
        <f>IFERROR(INDEX(V!$R:$R,MATCH(AN92,V!$L:$L,0)),"")</f>
        <v/>
      </c>
      <c r="AN92" s="460" t="str">
        <f t="shared" si="16"/>
        <v/>
      </c>
      <c r="AO92" s="459" t="str">
        <f>IFERROR(INDEX(V!$R:$R,MATCH(AP92,V!$L:$L,0)),"")</f>
        <v/>
      </c>
      <c r="AP92" s="460" t="str">
        <f t="shared" si="17"/>
        <v/>
      </c>
    </row>
    <row r="93" spans="1:42"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58">
        <f t="shared" si="18"/>
        <v>0</v>
      </c>
      <c r="AE93" s="459" t="str">
        <f>IFERROR(INDEX(V!$R:$R,MATCH(AF93,V!$L:$L,0)),"")</f>
        <v/>
      </c>
      <c r="AF93" s="460" t="str">
        <f t="shared" si="12"/>
        <v/>
      </c>
      <c r="AG93" s="459" t="str">
        <f>IFERROR(INDEX(V!$R:$R,MATCH(AH93,V!$L:$L,0)),"")</f>
        <v/>
      </c>
      <c r="AH93" s="460" t="str">
        <f t="shared" si="13"/>
        <v/>
      </c>
      <c r="AI93" s="459" t="str">
        <f>IFERROR(INDEX(V!$R:$R,MATCH(AJ93,V!$L:$L,0)),"")</f>
        <v/>
      </c>
      <c r="AJ93" s="460" t="str">
        <f t="shared" si="14"/>
        <v/>
      </c>
      <c r="AK93" s="459" t="str">
        <f>IFERROR(INDEX(V!$R:$R,MATCH(AL93,V!$L:$L,0)),"")</f>
        <v/>
      </c>
      <c r="AL93" s="460" t="str">
        <f t="shared" si="15"/>
        <v/>
      </c>
      <c r="AM93" s="459" t="str">
        <f>IFERROR(INDEX(V!$R:$R,MATCH(AN93,V!$L:$L,0)),"")</f>
        <v/>
      </c>
      <c r="AN93" s="460" t="str">
        <f t="shared" si="16"/>
        <v/>
      </c>
      <c r="AO93" s="459" t="str">
        <f>IFERROR(INDEX(V!$R:$R,MATCH(AP93,V!$L:$L,0)),"")</f>
        <v/>
      </c>
      <c r="AP93" s="460" t="str">
        <f t="shared" si="17"/>
        <v/>
      </c>
    </row>
    <row r="94" spans="1:42"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58">
        <f t="shared" si="18"/>
        <v>0</v>
      </c>
      <c r="AE94" s="459" t="str">
        <f>IFERROR(INDEX(V!$R:$R,MATCH(AF94,V!$L:$L,0)),"")</f>
        <v/>
      </c>
      <c r="AF94" s="460" t="str">
        <f t="shared" si="12"/>
        <v/>
      </c>
      <c r="AG94" s="459" t="str">
        <f>IFERROR(INDEX(V!$R:$R,MATCH(AH94,V!$L:$L,0)),"")</f>
        <v/>
      </c>
      <c r="AH94" s="460" t="str">
        <f t="shared" si="13"/>
        <v/>
      </c>
      <c r="AI94" s="459" t="str">
        <f>IFERROR(INDEX(V!$R:$R,MATCH(AJ94,V!$L:$L,0)),"")</f>
        <v/>
      </c>
      <c r="AJ94" s="460" t="str">
        <f t="shared" si="14"/>
        <v/>
      </c>
      <c r="AK94" s="459" t="str">
        <f>IFERROR(INDEX(V!$R:$R,MATCH(AL94,V!$L:$L,0)),"")</f>
        <v/>
      </c>
      <c r="AL94" s="460" t="str">
        <f t="shared" si="15"/>
        <v/>
      </c>
      <c r="AM94" s="459" t="str">
        <f>IFERROR(INDEX(V!$R:$R,MATCH(AN94,V!$L:$L,0)),"")</f>
        <v/>
      </c>
      <c r="AN94" s="460" t="str">
        <f t="shared" si="16"/>
        <v/>
      </c>
      <c r="AO94" s="459" t="str">
        <f>IFERROR(INDEX(V!$R:$R,MATCH(AP94,V!$L:$L,0)),"")</f>
        <v/>
      </c>
      <c r="AP94" s="460" t="str">
        <f t="shared" si="17"/>
        <v/>
      </c>
    </row>
    <row r="95" spans="1:42"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58">
        <f t="shared" si="18"/>
        <v>0</v>
      </c>
      <c r="AE95" s="459" t="str">
        <f>IFERROR(INDEX(V!$R:$R,MATCH(AF95,V!$L:$L,0)),"")</f>
        <v/>
      </c>
      <c r="AF95" s="460" t="str">
        <f t="shared" si="12"/>
        <v/>
      </c>
      <c r="AG95" s="459" t="str">
        <f>IFERROR(INDEX(V!$R:$R,MATCH(AH95,V!$L:$L,0)),"")</f>
        <v/>
      </c>
      <c r="AH95" s="460" t="str">
        <f t="shared" si="13"/>
        <v/>
      </c>
      <c r="AI95" s="459" t="str">
        <f>IFERROR(INDEX(V!$R:$R,MATCH(AJ95,V!$L:$L,0)),"")</f>
        <v/>
      </c>
      <c r="AJ95" s="460" t="str">
        <f t="shared" si="14"/>
        <v/>
      </c>
      <c r="AK95" s="459" t="str">
        <f>IFERROR(INDEX(V!$R:$R,MATCH(AL95,V!$L:$L,0)),"")</f>
        <v/>
      </c>
      <c r="AL95" s="460" t="str">
        <f t="shared" si="15"/>
        <v/>
      </c>
      <c r="AM95" s="459" t="str">
        <f>IFERROR(INDEX(V!$R:$R,MATCH(AN95,V!$L:$L,0)),"")</f>
        <v/>
      </c>
      <c r="AN95" s="460" t="str">
        <f t="shared" si="16"/>
        <v/>
      </c>
      <c r="AO95" s="459" t="str">
        <f>IFERROR(INDEX(V!$R:$R,MATCH(AP95,V!$L:$L,0)),"")</f>
        <v/>
      </c>
      <c r="AP95" s="460" t="str">
        <f t="shared" si="17"/>
        <v/>
      </c>
    </row>
    <row r="96" spans="1:42"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58">
        <f t="shared" si="18"/>
        <v>0</v>
      </c>
      <c r="AE96" s="459" t="str">
        <f>IFERROR(INDEX(V!$R:$R,MATCH(AF96,V!$L:$L,0)),"")</f>
        <v/>
      </c>
      <c r="AF96" s="460" t="str">
        <f t="shared" si="12"/>
        <v/>
      </c>
      <c r="AG96" s="459" t="str">
        <f>IFERROR(INDEX(V!$R:$R,MATCH(AH96,V!$L:$L,0)),"")</f>
        <v/>
      </c>
      <c r="AH96" s="460" t="str">
        <f t="shared" si="13"/>
        <v/>
      </c>
      <c r="AI96" s="459" t="str">
        <f>IFERROR(INDEX(V!$R:$R,MATCH(AJ96,V!$L:$L,0)),"")</f>
        <v/>
      </c>
      <c r="AJ96" s="460" t="str">
        <f t="shared" si="14"/>
        <v/>
      </c>
      <c r="AK96" s="459" t="str">
        <f>IFERROR(INDEX(V!$R:$R,MATCH(AL96,V!$L:$L,0)),"")</f>
        <v/>
      </c>
      <c r="AL96" s="460" t="str">
        <f t="shared" si="15"/>
        <v/>
      </c>
      <c r="AM96" s="459" t="str">
        <f>IFERROR(INDEX(V!$R:$R,MATCH(AN96,V!$L:$L,0)),"")</f>
        <v/>
      </c>
      <c r="AN96" s="460" t="str">
        <f t="shared" si="16"/>
        <v/>
      </c>
      <c r="AO96" s="459" t="str">
        <f>IFERROR(INDEX(V!$R:$R,MATCH(AP96,V!$L:$L,0)),"")</f>
        <v/>
      </c>
      <c r="AP96" s="460" t="str">
        <f t="shared" si="17"/>
        <v/>
      </c>
    </row>
    <row r="97" spans="1:42"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58">
        <f t="shared" si="18"/>
        <v>0</v>
      </c>
      <c r="AE97" s="459" t="str">
        <f>IFERROR(INDEX(V!$R:$R,MATCH(AF97,V!$L:$L,0)),"")</f>
        <v/>
      </c>
      <c r="AF97" s="460" t="str">
        <f t="shared" si="12"/>
        <v/>
      </c>
      <c r="AG97" s="459" t="str">
        <f>IFERROR(INDEX(V!$R:$R,MATCH(AH97,V!$L:$L,0)),"")</f>
        <v/>
      </c>
      <c r="AH97" s="460" t="str">
        <f t="shared" si="13"/>
        <v/>
      </c>
      <c r="AI97" s="459" t="str">
        <f>IFERROR(INDEX(V!$R:$R,MATCH(AJ97,V!$L:$L,0)),"")</f>
        <v/>
      </c>
      <c r="AJ97" s="460" t="str">
        <f t="shared" si="14"/>
        <v/>
      </c>
      <c r="AK97" s="459" t="str">
        <f>IFERROR(INDEX(V!$R:$R,MATCH(AL97,V!$L:$L,0)),"")</f>
        <v/>
      </c>
      <c r="AL97" s="460" t="str">
        <f t="shared" si="15"/>
        <v/>
      </c>
      <c r="AM97" s="459" t="str">
        <f>IFERROR(INDEX(V!$R:$R,MATCH(AN97,V!$L:$L,0)),"")</f>
        <v/>
      </c>
      <c r="AN97" s="460" t="str">
        <f t="shared" si="16"/>
        <v/>
      </c>
      <c r="AO97" s="459" t="str">
        <f>IFERROR(INDEX(V!$R:$R,MATCH(AP97,V!$L:$L,0)),"")</f>
        <v/>
      </c>
      <c r="AP97" s="460" t="str">
        <f t="shared" si="17"/>
        <v/>
      </c>
    </row>
    <row r="98" spans="1:42"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58">
        <f t="shared" si="18"/>
        <v>0</v>
      </c>
      <c r="AE98" s="459" t="str">
        <f>IFERROR(INDEX(V!$R:$R,MATCH(AF98,V!$L:$L,0)),"")</f>
        <v/>
      </c>
      <c r="AF98" s="460" t="str">
        <f t="shared" si="12"/>
        <v/>
      </c>
      <c r="AG98" s="459" t="str">
        <f>IFERROR(INDEX(V!$R:$R,MATCH(AH98,V!$L:$L,0)),"")</f>
        <v/>
      </c>
      <c r="AH98" s="460" t="str">
        <f t="shared" si="13"/>
        <v/>
      </c>
      <c r="AI98" s="459" t="str">
        <f>IFERROR(INDEX(V!$R:$R,MATCH(AJ98,V!$L:$L,0)),"")</f>
        <v/>
      </c>
      <c r="AJ98" s="460" t="str">
        <f t="shared" si="14"/>
        <v/>
      </c>
      <c r="AK98" s="459" t="str">
        <f>IFERROR(INDEX(V!$R:$R,MATCH(AL98,V!$L:$L,0)),"")</f>
        <v/>
      </c>
      <c r="AL98" s="460" t="str">
        <f t="shared" si="15"/>
        <v/>
      </c>
      <c r="AM98" s="459" t="str">
        <f>IFERROR(INDEX(V!$R:$R,MATCH(AN98,V!$L:$L,0)),"")</f>
        <v/>
      </c>
      <c r="AN98" s="460" t="str">
        <f t="shared" si="16"/>
        <v/>
      </c>
      <c r="AO98" s="459" t="str">
        <f>IFERROR(INDEX(V!$R:$R,MATCH(AP98,V!$L:$L,0)),"")</f>
        <v/>
      </c>
      <c r="AP98" s="460" t="str">
        <f t="shared" si="17"/>
        <v/>
      </c>
    </row>
    <row r="99" spans="1:42"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58">
        <f t="shared" si="18"/>
        <v>0</v>
      </c>
      <c r="AE99" s="459" t="str">
        <f>IFERROR(INDEX(V!$R:$R,MATCH(AF99,V!$L:$L,0)),"")</f>
        <v/>
      </c>
      <c r="AF99" s="460" t="str">
        <f t="shared" si="12"/>
        <v/>
      </c>
      <c r="AG99" s="459" t="str">
        <f>IFERROR(INDEX(V!$R:$R,MATCH(AH99,V!$L:$L,0)),"")</f>
        <v/>
      </c>
      <c r="AH99" s="460" t="str">
        <f t="shared" si="13"/>
        <v/>
      </c>
      <c r="AI99" s="459" t="str">
        <f>IFERROR(INDEX(V!$R:$R,MATCH(AJ99,V!$L:$L,0)),"")</f>
        <v/>
      </c>
      <c r="AJ99" s="460" t="str">
        <f t="shared" si="14"/>
        <v/>
      </c>
      <c r="AK99" s="459" t="str">
        <f>IFERROR(INDEX(V!$R:$R,MATCH(AL99,V!$L:$L,0)),"")</f>
        <v/>
      </c>
      <c r="AL99" s="460" t="str">
        <f t="shared" si="15"/>
        <v/>
      </c>
      <c r="AM99" s="459" t="str">
        <f>IFERROR(INDEX(V!$R:$R,MATCH(AN99,V!$L:$L,0)),"")</f>
        <v/>
      </c>
      <c r="AN99" s="460" t="str">
        <f t="shared" si="16"/>
        <v/>
      </c>
      <c r="AO99" s="459" t="str">
        <f>IFERROR(INDEX(V!$R:$R,MATCH(AP99,V!$L:$L,0)),"")</f>
        <v/>
      </c>
      <c r="AP99" s="460" t="str">
        <f t="shared" si="17"/>
        <v/>
      </c>
    </row>
    <row r="100" spans="1:42"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58">
        <f t="shared" si="18"/>
        <v>0</v>
      </c>
      <c r="AE100" s="459" t="str">
        <f>IFERROR(INDEX(V!$R:$R,MATCH(AF100,V!$L:$L,0)),"")</f>
        <v/>
      </c>
      <c r="AF100" s="460" t="str">
        <f t="shared" si="12"/>
        <v/>
      </c>
      <c r="AG100" s="459" t="str">
        <f>IFERROR(INDEX(V!$R:$R,MATCH(AH100,V!$L:$L,0)),"")</f>
        <v/>
      </c>
      <c r="AH100" s="460" t="str">
        <f t="shared" si="13"/>
        <v/>
      </c>
      <c r="AI100" s="459" t="str">
        <f>IFERROR(INDEX(V!$R:$R,MATCH(AJ100,V!$L:$L,0)),"")</f>
        <v/>
      </c>
      <c r="AJ100" s="460" t="str">
        <f t="shared" si="14"/>
        <v/>
      </c>
      <c r="AK100" s="459" t="str">
        <f>IFERROR(INDEX(V!$R:$R,MATCH(AL100,V!$L:$L,0)),"")</f>
        <v/>
      </c>
      <c r="AL100" s="460" t="str">
        <f t="shared" si="15"/>
        <v/>
      </c>
      <c r="AM100" s="459" t="str">
        <f>IFERROR(INDEX(V!$R:$R,MATCH(AN100,V!$L:$L,0)),"")</f>
        <v/>
      </c>
      <c r="AN100" s="460" t="str">
        <f t="shared" si="16"/>
        <v/>
      </c>
      <c r="AO100" s="459" t="str">
        <f>IFERROR(INDEX(V!$R:$R,MATCH(AP100,V!$L:$L,0)),"")</f>
        <v/>
      </c>
      <c r="AP100" s="460" t="str">
        <f t="shared" si="17"/>
        <v/>
      </c>
    </row>
    <row r="101" spans="1:42"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58">
        <f t="shared" si="18"/>
        <v>0</v>
      </c>
      <c r="AE101" s="459" t="str">
        <f>IFERROR(INDEX(V!$R:$R,MATCH(AF101,V!$L:$L,0)),"")</f>
        <v/>
      </c>
      <c r="AF101" s="460" t="str">
        <f t="shared" si="12"/>
        <v/>
      </c>
      <c r="AG101" s="459" t="str">
        <f>IFERROR(INDEX(V!$R:$R,MATCH(AH101,V!$L:$L,0)),"")</f>
        <v/>
      </c>
      <c r="AH101" s="460" t="str">
        <f t="shared" si="13"/>
        <v/>
      </c>
      <c r="AI101" s="459" t="str">
        <f>IFERROR(INDEX(V!$R:$R,MATCH(AJ101,V!$L:$L,0)),"")</f>
        <v/>
      </c>
      <c r="AJ101" s="460" t="str">
        <f t="shared" si="14"/>
        <v/>
      </c>
      <c r="AK101" s="459" t="str">
        <f>IFERROR(INDEX(V!$R:$R,MATCH(AL101,V!$L:$L,0)),"")</f>
        <v/>
      </c>
      <c r="AL101" s="460" t="str">
        <f t="shared" si="15"/>
        <v/>
      </c>
      <c r="AM101" s="459" t="str">
        <f>IFERROR(INDEX(V!$R:$R,MATCH(AN101,V!$L:$L,0)),"")</f>
        <v/>
      </c>
      <c r="AN101" s="460" t="str">
        <f t="shared" si="16"/>
        <v/>
      </c>
      <c r="AO101" s="459" t="str">
        <f>IFERROR(INDEX(V!$R:$R,MATCH(AP101,V!$L:$L,0)),"")</f>
        <v/>
      </c>
      <c r="AP101" s="460" t="str">
        <f t="shared" si="17"/>
        <v/>
      </c>
    </row>
    <row r="102" spans="1:42"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58">
        <f t="shared" si="18"/>
        <v>0</v>
      </c>
      <c r="AE102" s="459" t="str">
        <f>IFERROR(INDEX(V!$R:$R,MATCH(AF102,V!$L:$L,0)),"")</f>
        <v/>
      </c>
      <c r="AF102" s="460" t="str">
        <f t="shared" si="12"/>
        <v/>
      </c>
      <c r="AG102" s="459" t="str">
        <f>IFERROR(INDEX(V!$R:$R,MATCH(AH102,V!$L:$L,0)),"")</f>
        <v/>
      </c>
      <c r="AH102" s="460" t="str">
        <f t="shared" si="13"/>
        <v/>
      </c>
      <c r="AI102" s="459" t="str">
        <f>IFERROR(INDEX(V!$R:$R,MATCH(AJ102,V!$L:$L,0)),"")</f>
        <v/>
      </c>
      <c r="AJ102" s="460" t="str">
        <f t="shared" si="14"/>
        <v/>
      </c>
      <c r="AK102" s="459" t="str">
        <f>IFERROR(INDEX(V!$R:$R,MATCH(AL102,V!$L:$L,0)),"")</f>
        <v/>
      </c>
      <c r="AL102" s="460" t="str">
        <f t="shared" si="15"/>
        <v/>
      </c>
      <c r="AM102" s="459" t="str">
        <f>IFERROR(INDEX(V!$R:$R,MATCH(AN102,V!$L:$L,0)),"")</f>
        <v/>
      </c>
      <c r="AN102" s="460" t="str">
        <f t="shared" si="16"/>
        <v/>
      </c>
      <c r="AO102" s="459" t="str">
        <f>IFERROR(INDEX(V!$R:$R,MATCH(AP102,V!$L:$L,0)),"")</f>
        <v/>
      </c>
      <c r="AP102" s="460" t="str">
        <f t="shared" si="17"/>
        <v/>
      </c>
    </row>
    <row r="103" spans="1:42"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58">
        <f t="shared" si="18"/>
        <v>0</v>
      </c>
      <c r="AE103" s="459" t="str">
        <f>IFERROR(INDEX(V!$R:$R,MATCH(AF103,V!$L:$L,0)),"")</f>
        <v/>
      </c>
      <c r="AF103" s="460" t="str">
        <f t="shared" si="12"/>
        <v/>
      </c>
      <c r="AG103" s="459" t="str">
        <f>IFERROR(INDEX(V!$R:$R,MATCH(AH103,V!$L:$L,0)),"")</f>
        <v/>
      </c>
      <c r="AH103" s="460" t="str">
        <f t="shared" si="13"/>
        <v/>
      </c>
      <c r="AI103" s="459" t="str">
        <f>IFERROR(INDEX(V!$R:$R,MATCH(AJ103,V!$L:$L,0)),"")</f>
        <v/>
      </c>
      <c r="AJ103" s="460" t="str">
        <f t="shared" si="14"/>
        <v/>
      </c>
      <c r="AK103" s="459" t="str">
        <f>IFERROR(INDEX(V!$R:$R,MATCH(AL103,V!$L:$L,0)),"")</f>
        <v/>
      </c>
      <c r="AL103" s="460" t="str">
        <f t="shared" si="15"/>
        <v/>
      </c>
      <c r="AM103" s="459" t="str">
        <f>IFERROR(INDEX(V!$R:$R,MATCH(AN103,V!$L:$L,0)),"")</f>
        <v/>
      </c>
      <c r="AN103" s="460" t="str">
        <f t="shared" si="16"/>
        <v/>
      </c>
      <c r="AO103" s="459" t="str">
        <f>IFERROR(INDEX(V!$R:$R,MATCH(AP103,V!$L:$L,0)),"")</f>
        <v/>
      </c>
      <c r="AP103" s="460" t="str">
        <f t="shared" si="17"/>
        <v/>
      </c>
    </row>
    <row r="104" spans="1:42"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58">
        <f t="shared" si="18"/>
        <v>0</v>
      </c>
      <c r="AE104" s="459" t="str">
        <f>IFERROR(INDEX(V!$R:$R,MATCH(AF104,V!$L:$L,0)),"")</f>
        <v/>
      </c>
      <c r="AF104" s="460" t="str">
        <f t="shared" si="12"/>
        <v/>
      </c>
      <c r="AG104" s="459" t="str">
        <f>IFERROR(INDEX(V!$R:$R,MATCH(AH104,V!$L:$L,0)),"")</f>
        <v/>
      </c>
      <c r="AH104" s="460" t="str">
        <f t="shared" si="13"/>
        <v/>
      </c>
      <c r="AI104" s="459" t="str">
        <f>IFERROR(INDEX(V!$R:$R,MATCH(AJ104,V!$L:$L,0)),"")</f>
        <v/>
      </c>
      <c r="AJ104" s="460" t="str">
        <f t="shared" si="14"/>
        <v/>
      </c>
      <c r="AK104" s="459" t="str">
        <f>IFERROR(INDEX(V!$R:$R,MATCH(AL104,V!$L:$L,0)),"")</f>
        <v/>
      </c>
      <c r="AL104" s="460" t="str">
        <f t="shared" si="15"/>
        <v/>
      </c>
      <c r="AM104" s="459" t="str">
        <f>IFERROR(INDEX(V!$R:$R,MATCH(AN104,V!$L:$L,0)),"")</f>
        <v/>
      </c>
      <c r="AN104" s="460" t="str">
        <f t="shared" si="16"/>
        <v/>
      </c>
      <c r="AO104" s="459" t="str">
        <f>IFERROR(INDEX(V!$R:$R,MATCH(AP104,V!$L:$L,0)),"")</f>
        <v/>
      </c>
      <c r="AP104" s="460" t="str">
        <f t="shared" si="17"/>
        <v/>
      </c>
    </row>
    <row r="105" spans="1:42"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58">
        <f t="shared" si="18"/>
        <v>0</v>
      </c>
      <c r="AE105" s="459" t="str">
        <f>IFERROR(INDEX(V!$R:$R,MATCH(AF105,V!$L:$L,0)),"")</f>
        <v/>
      </c>
      <c r="AF105" s="460" t="str">
        <f t="shared" si="12"/>
        <v/>
      </c>
      <c r="AG105" s="459" t="str">
        <f>IFERROR(INDEX(V!$R:$R,MATCH(AH105,V!$L:$L,0)),"")</f>
        <v/>
      </c>
      <c r="AH105" s="460" t="str">
        <f t="shared" si="13"/>
        <v/>
      </c>
      <c r="AI105" s="459" t="str">
        <f>IFERROR(INDEX(V!$R:$R,MATCH(AJ105,V!$L:$L,0)),"")</f>
        <v/>
      </c>
      <c r="AJ105" s="460" t="str">
        <f t="shared" si="14"/>
        <v/>
      </c>
      <c r="AK105" s="459" t="str">
        <f>IFERROR(INDEX(V!$R:$R,MATCH(AL105,V!$L:$L,0)),"")</f>
        <v/>
      </c>
      <c r="AL105" s="460" t="str">
        <f t="shared" si="15"/>
        <v/>
      </c>
      <c r="AM105" s="459" t="str">
        <f>IFERROR(INDEX(V!$R:$R,MATCH(AN105,V!$L:$L,0)),"")</f>
        <v/>
      </c>
      <c r="AN105" s="460" t="str">
        <f t="shared" si="16"/>
        <v/>
      </c>
      <c r="AO105" s="459" t="str">
        <f>IFERROR(INDEX(V!$R:$R,MATCH(AP105,V!$L:$L,0)),"")</f>
        <v/>
      </c>
      <c r="AP105" s="460" t="str">
        <f t="shared" si="17"/>
        <v/>
      </c>
    </row>
    <row r="106" spans="1:42"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58">
        <f t="shared" si="18"/>
        <v>0</v>
      </c>
      <c r="AE106" s="459" t="str">
        <f>IFERROR(INDEX(V!$R:$R,MATCH(AF106,V!$L:$L,0)),"")</f>
        <v/>
      </c>
      <c r="AF106" s="460" t="str">
        <f t="shared" si="12"/>
        <v/>
      </c>
      <c r="AG106" s="459" t="str">
        <f>IFERROR(INDEX(V!$R:$R,MATCH(AH106,V!$L:$L,0)),"")</f>
        <v/>
      </c>
      <c r="AH106" s="460" t="str">
        <f t="shared" si="13"/>
        <v/>
      </c>
      <c r="AI106" s="459" t="str">
        <f>IFERROR(INDEX(V!$R:$R,MATCH(AJ106,V!$L:$L,0)),"")</f>
        <v/>
      </c>
      <c r="AJ106" s="460" t="str">
        <f t="shared" si="14"/>
        <v/>
      </c>
      <c r="AK106" s="459" t="str">
        <f>IFERROR(INDEX(V!$R:$R,MATCH(AL106,V!$L:$L,0)),"")</f>
        <v/>
      </c>
      <c r="AL106" s="460" t="str">
        <f t="shared" si="15"/>
        <v/>
      </c>
      <c r="AM106" s="459" t="str">
        <f>IFERROR(INDEX(V!$R:$R,MATCH(AN106,V!$L:$L,0)),"")</f>
        <v/>
      </c>
      <c r="AN106" s="460" t="str">
        <f t="shared" si="16"/>
        <v/>
      </c>
      <c r="AO106" s="459" t="str">
        <f>IFERROR(INDEX(V!$R:$R,MATCH(AP106,V!$L:$L,0)),"")</f>
        <v/>
      </c>
      <c r="AP106" s="460" t="str">
        <f t="shared" si="17"/>
        <v/>
      </c>
    </row>
    <row r="107" spans="1:42"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58">
        <f t="shared" si="18"/>
        <v>0</v>
      </c>
      <c r="AE107" s="459" t="str">
        <f>IFERROR(INDEX(V!$R:$R,MATCH(AF107,V!$L:$L,0)),"")</f>
        <v/>
      </c>
      <c r="AF107" s="460" t="str">
        <f t="shared" si="12"/>
        <v/>
      </c>
      <c r="AG107" s="459" t="str">
        <f>IFERROR(INDEX(V!$R:$R,MATCH(AH107,V!$L:$L,0)),"")</f>
        <v/>
      </c>
      <c r="AH107" s="460" t="str">
        <f t="shared" si="13"/>
        <v/>
      </c>
      <c r="AI107" s="459" t="str">
        <f>IFERROR(INDEX(V!$R:$R,MATCH(AJ107,V!$L:$L,0)),"")</f>
        <v/>
      </c>
      <c r="AJ107" s="460" t="str">
        <f t="shared" si="14"/>
        <v/>
      </c>
      <c r="AK107" s="459" t="str">
        <f>IFERROR(INDEX(V!$R:$R,MATCH(AL107,V!$L:$L,0)),"")</f>
        <v/>
      </c>
      <c r="AL107" s="460" t="str">
        <f t="shared" si="15"/>
        <v/>
      </c>
      <c r="AM107" s="459" t="str">
        <f>IFERROR(INDEX(V!$R:$R,MATCH(AN107,V!$L:$L,0)),"")</f>
        <v/>
      </c>
      <c r="AN107" s="460" t="str">
        <f t="shared" si="16"/>
        <v/>
      </c>
      <c r="AO107" s="459" t="str">
        <f>IFERROR(INDEX(V!$R:$R,MATCH(AP107,V!$L:$L,0)),"")</f>
        <v/>
      </c>
      <c r="AP107" s="460" t="str">
        <f t="shared" si="17"/>
        <v/>
      </c>
    </row>
    <row r="108" spans="1:42"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58">
        <f t="shared" si="18"/>
        <v>0</v>
      </c>
      <c r="AE108" s="459" t="str">
        <f>IFERROR(INDEX(V!$R:$R,MATCH(AF108,V!$L:$L,0)),"")</f>
        <v/>
      </c>
      <c r="AF108" s="460" t="str">
        <f t="shared" si="12"/>
        <v/>
      </c>
      <c r="AG108" s="459" t="str">
        <f>IFERROR(INDEX(V!$R:$R,MATCH(AH108,V!$L:$L,0)),"")</f>
        <v/>
      </c>
      <c r="AH108" s="460" t="str">
        <f t="shared" si="13"/>
        <v/>
      </c>
      <c r="AI108" s="459" t="str">
        <f>IFERROR(INDEX(V!$R:$R,MATCH(AJ108,V!$L:$L,0)),"")</f>
        <v/>
      </c>
      <c r="AJ108" s="460" t="str">
        <f t="shared" si="14"/>
        <v/>
      </c>
      <c r="AK108" s="459" t="str">
        <f>IFERROR(INDEX(V!$R:$R,MATCH(AL108,V!$L:$L,0)),"")</f>
        <v/>
      </c>
      <c r="AL108" s="460" t="str">
        <f t="shared" si="15"/>
        <v/>
      </c>
      <c r="AM108" s="459" t="str">
        <f>IFERROR(INDEX(V!$R:$R,MATCH(AN108,V!$L:$L,0)),"")</f>
        <v/>
      </c>
      <c r="AN108" s="460" t="str">
        <f t="shared" si="16"/>
        <v/>
      </c>
      <c r="AO108" s="459" t="str">
        <f>IFERROR(INDEX(V!$R:$R,MATCH(AP108,V!$L:$L,0)),"")</f>
        <v/>
      </c>
      <c r="AP108" s="460" t="str">
        <f t="shared" si="17"/>
        <v/>
      </c>
    </row>
    <row r="109" spans="1:42"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58">
        <f t="shared" si="18"/>
        <v>0</v>
      </c>
      <c r="AE109" s="459" t="str">
        <f>IFERROR(INDEX(V!$R:$R,MATCH(AF109,V!$L:$L,0)),"")</f>
        <v/>
      </c>
      <c r="AF109" s="460" t="str">
        <f t="shared" si="12"/>
        <v/>
      </c>
      <c r="AG109" s="459" t="str">
        <f>IFERROR(INDEX(V!$R:$R,MATCH(AH109,V!$L:$L,0)),"")</f>
        <v/>
      </c>
      <c r="AH109" s="460" t="str">
        <f t="shared" si="13"/>
        <v/>
      </c>
      <c r="AI109" s="459" t="str">
        <f>IFERROR(INDEX(V!$R:$R,MATCH(AJ109,V!$L:$L,0)),"")</f>
        <v/>
      </c>
      <c r="AJ109" s="460" t="str">
        <f t="shared" si="14"/>
        <v/>
      </c>
      <c r="AK109" s="459" t="str">
        <f>IFERROR(INDEX(V!$R:$R,MATCH(AL109,V!$L:$L,0)),"")</f>
        <v/>
      </c>
      <c r="AL109" s="460" t="str">
        <f t="shared" si="15"/>
        <v/>
      </c>
      <c r="AM109" s="459" t="str">
        <f>IFERROR(INDEX(V!$R:$R,MATCH(AN109,V!$L:$L,0)),"")</f>
        <v/>
      </c>
      <c r="AN109" s="460" t="str">
        <f t="shared" si="16"/>
        <v/>
      </c>
      <c r="AO109" s="459" t="str">
        <f>IFERROR(INDEX(V!$R:$R,MATCH(AP109,V!$L:$L,0)),"")</f>
        <v/>
      </c>
      <c r="AP109" s="460" t="str">
        <f t="shared" si="17"/>
        <v/>
      </c>
    </row>
    <row r="110" spans="1:42"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58">
        <f t="shared" si="18"/>
        <v>0</v>
      </c>
      <c r="AE110" s="459" t="str">
        <f>IFERROR(INDEX(V!$R:$R,MATCH(AF110,V!$L:$L,0)),"")</f>
        <v/>
      </c>
      <c r="AF110" s="460" t="str">
        <f t="shared" si="12"/>
        <v/>
      </c>
      <c r="AG110" s="459" t="str">
        <f>IFERROR(INDEX(V!$R:$R,MATCH(AH110,V!$L:$L,0)),"")</f>
        <v/>
      </c>
      <c r="AH110" s="460" t="str">
        <f t="shared" si="13"/>
        <v/>
      </c>
      <c r="AI110" s="459" t="str">
        <f>IFERROR(INDEX(V!$R:$R,MATCH(AJ110,V!$L:$L,0)),"")</f>
        <v/>
      </c>
      <c r="AJ110" s="460" t="str">
        <f t="shared" si="14"/>
        <v/>
      </c>
      <c r="AK110" s="459" t="str">
        <f>IFERROR(INDEX(V!$R:$R,MATCH(AL110,V!$L:$L,0)),"")</f>
        <v/>
      </c>
      <c r="AL110" s="460" t="str">
        <f t="shared" si="15"/>
        <v/>
      </c>
      <c r="AM110" s="459" t="str">
        <f>IFERROR(INDEX(V!$R:$R,MATCH(AN110,V!$L:$L,0)),"")</f>
        <v/>
      </c>
      <c r="AN110" s="460" t="str">
        <f t="shared" si="16"/>
        <v/>
      </c>
      <c r="AO110" s="459" t="str">
        <f>IFERROR(INDEX(V!$R:$R,MATCH(AP110,V!$L:$L,0)),"")</f>
        <v/>
      </c>
      <c r="AP110" s="460" t="str">
        <f t="shared" si="17"/>
        <v/>
      </c>
    </row>
    <row r="111" spans="1:42"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58">
        <f t="shared" si="18"/>
        <v>0</v>
      </c>
      <c r="AE111" s="459" t="str">
        <f>IFERROR(INDEX(V!$R:$R,MATCH(AF111,V!$L:$L,0)),"")</f>
        <v/>
      </c>
      <c r="AF111" s="460" t="str">
        <f t="shared" si="12"/>
        <v/>
      </c>
      <c r="AG111" s="459" t="str">
        <f>IFERROR(INDEX(V!$R:$R,MATCH(AH111,V!$L:$L,0)),"")</f>
        <v/>
      </c>
      <c r="AH111" s="460" t="str">
        <f t="shared" si="13"/>
        <v/>
      </c>
      <c r="AI111" s="459" t="str">
        <f>IFERROR(INDEX(V!$R:$R,MATCH(AJ111,V!$L:$L,0)),"")</f>
        <v/>
      </c>
      <c r="AJ111" s="460" t="str">
        <f t="shared" si="14"/>
        <v/>
      </c>
      <c r="AK111" s="459" t="str">
        <f>IFERROR(INDEX(V!$R:$R,MATCH(AL111,V!$L:$L,0)),"")</f>
        <v/>
      </c>
      <c r="AL111" s="460" t="str">
        <f t="shared" si="15"/>
        <v/>
      </c>
      <c r="AM111" s="459" t="str">
        <f>IFERROR(INDEX(V!$R:$R,MATCH(AN111,V!$L:$L,0)),"")</f>
        <v/>
      </c>
      <c r="AN111" s="460" t="str">
        <f t="shared" si="16"/>
        <v/>
      </c>
      <c r="AO111" s="459" t="str">
        <f>IFERROR(INDEX(V!$R:$R,MATCH(AP111,V!$L:$L,0)),"")</f>
        <v/>
      </c>
      <c r="AP111" s="460" t="str">
        <f t="shared" si="17"/>
        <v/>
      </c>
    </row>
    <row r="112" spans="1:42"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58">
        <f t="shared" si="18"/>
        <v>0</v>
      </c>
      <c r="AE112" s="459" t="str">
        <f>IFERROR(INDEX(V!$R:$R,MATCH(AF112,V!$L:$L,0)),"")</f>
        <v/>
      </c>
      <c r="AF112" s="460" t="str">
        <f t="shared" si="12"/>
        <v/>
      </c>
      <c r="AG112" s="459" t="str">
        <f>IFERROR(INDEX(V!$R:$R,MATCH(AH112,V!$L:$L,0)),"")</f>
        <v/>
      </c>
      <c r="AH112" s="460" t="str">
        <f t="shared" si="13"/>
        <v/>
      </c>
      <c r="AI112" s="459" t="str">
        <f>IFERROR(INDEX(V!$R:$R,MATCH(AJ112,V!$L:$L,0)),"")</f>
        <v/>
      </c>
      <c r="AJ112" s="460" t="str">
        <f t="shared" si="14"/>
        <v/>
      </c>
      <c r="AK112" s="459" t="str">
        <f>IFERROR(INDEX(V!$R:$R,MATCH(AL112,V!$L:$L,0)),"")</f>
        <v/>
      </c>
      <c r="AL112" s="460" t="str">
        <f t="shared" si="15"/>
        <v/>
      </c>
      <c r="AM112" s="459" t="str">
        <f>IFERROR(INDEX(V!$R:$R,MATCH(AN112,V!$L:$L,0)),"")</f>
        <v/>
      </c>
      <c r="AN112" s="460" t="str">
        <f t="shared" si="16"/>
        <v/>
      </c>
      <c r="AO112" s="459" t="str">
        <f>IFERROR(INDEX(V!$R:$R,MATCH(AP112,V!$L:$L,0)),"")</f>
        <v/>
      </c>
      <c r="AP112" s="460" t="str">
        <f t="shared" si="17"/>
        <v/>
      </c>
    </row>
    <row r="113" spans="1:42"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58">
        <f t="shared" si="18"/>
        <v>0</v>
      </c>
      <c r="AE113" s="459" t="str">
        <f>IFERROR(INDEX(V!$R:$R,MATCH(AF113,V!$L:$L,0)),"")</f>
        <v/>
      </c>
      <c r="AF113" s="460" t="str">
        <f t="shared" si="12"/>
        <v/>
      </c>
      <c r="AG113" s="459" t="str">
        <f>IFERROR(INDEX(V!$R:$R,MATCH(AH113,V!$L:$L,0)),"")</f>
        <v/>
      </c>
      <c r="AH113" s="460" t="str">
        <f t="shared" si="13"/>
        <v/>
      </c>
      <c r="AI113" s="459" t="str">
        <f>IFERROR(INDEX(V!$R:$R,MATCH(AJ113,V!$L:$L,0)),"")</f>
        <v/>
      </c>
      <c r="AJ113" s="460" t="str">
        <f t="shared" si="14"/>
        <v/>
      </c>
      <c r="AK113" s="459" t="str">
        <f>IFERROR(INDEX(V!$R:$R,MATCH(AL113,V!$L:$L,0)),"")</f>
        <v/>
      </c>
      <c r="AL113" s="460" t="str">
        <f t="shared" si="15"/>
        <v/>
      </c>
      <c r="AM113" s="459" t="str">
        <f>IFERROR(INDEX(V!$R:$R,MATCH(AN113,V!$L:$L,0)),"")</f>
        <v/>
      </c>
      <c r="AN113" s="460" t="str">
        <f t="shared" si="16"/>
        <v/>
      </c>
      <c r="AO113" s="459" t="str">
        <f>IFERROR(INDEX(V!$R:$R,MATCH(AP113,V!$L:$L,0)),"")</f>
        <v/>
      </c>
      <c r="AP113" s="460" t="str">
        <f t="shared" si="17"/>
        <v/>
      </c>
    </row>
    <row r="114" spans="1:42"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58">
        <f t="shared" si="18"/>
        <v>0</v>
      </c>
      <c r="AE114" s="459" t="str">
        <f>IFERROR(INDEX(V!$R:$R,MATCH(AF114,V!$L:$L,0)),"")</f>
        <v/>
      </c>
      <c r="AF114" s="460" t="str">
        <f t="shared" si="12"/>
        <v/>
      </c>
      <c r="AG114" s="459" t="str">
        <f>IFERROR(INDEX(V!$R:$R,MATCH(AH114,V!$L:$L,0)),"")</f>
        <v/>
      </c>
      <c r="AH114" s="460" t="str">
        <f t="shared" si="13"/>
        <v/>
      </c>
      <c r="AI114" s="459" t="str">
        <f>IFERROR(INDEX(V!$R:$R,MATCH(AJ114,V!$L:$L,0)),"")</f>
        <v/>
      </c>
      <c r="AJ114" s="460" t="str">
        <f t="shared" si="14"/>
        <v/>
      </c>
      <c r="AK114" s="459" t="str">
        <f>IFERROR(INDEX(V!$R:$R,MATCH(AL114,V!$L:$L,0)),"")</f>
        <v/>
      </c>
      <c r="AL114" s="460" t="str">
        <f t="shared" si="15"/>
        <v/>
      </c>
      <c r="AM114" s="459" t="str">
        <f>IFERROR(INDEX(V!$R:$R,MATCH(AN114,V!$L:$L,0)),"")</f>
        <v/>
      </c>
      <c r="AN114" s="460" t="str">
        <f t="shared" si="16"/>
        <v/>
      </c>
      <c r="AO114" s="459" t="str">
        <f>IFERROR(INDEX(V!$R:$R,MATCH(AP114,V!$L:$L,0)),"")</f>
        <v/>
      </c>
      <c r="AP114" s="460" t="str">
        <f t="shared" si="17"/>
        <v/>
      </c>
    </row>
    <row r="115" spans="1:42"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58">
        <f t="shared" si="18"/>
        <v>0</v>
      </c>
      <c r="AE115" s="459" t="str">
        <f>IFERROR(INDEX(V!$R:$R,MATCH(AF115,V!$L:$L,0)),"")</f>
        <v/>
      </c>
      <c r="AF115" s="460" t="str">
        <f t="shared" si="12"/>
        <v/>
      </c>
      <c r="AG115" s="459" t="str">
        <f>IFERROR(INDEX(V!$R:$R,MATCH(AH115,V!$L:$L,0)),"")</f>
        <v/>
      </c>
      <c r="AH115" s="460" t="str">
        <f t="shared" si="13"/>
        <v/>
      </c>
      <c r="AI115" s="459" t="str">
        <f>IFERROR(INDEX(V!$R:$R,MATCH(AJ115,V!$L:$L,0)),"")</f>
        <v/>
      </c>
      <c r="AJ115" s="460" t="str">
        <f t="shared" si="14"/>
        <v/>
      </c>
      <c r="AK115" s="459" t="str">
        <f>IFERROR(INDEX(V!$R:$R,MATCH(AL115,V!$L:$L,0)),"")</f>
        <v/>
      </c>
      <c r="AL115" s="460" t="str">
        <f t="shared" si="15"/>
        <v/>
      </c>
      <c r="AM115" s="459" t="str">
        <f>IFERROR(INDEX(V!$R:$R,MATCH(AN115,V!$L:$L,0)),"")</f>
        <v/>
      </c>
      <c r="AN115" s="460" t="str">
        <f t="shared" si="16"/>
        <v/>
      </c>
      <c r="AO115" s="459" t="str">
        <f>IFERROR(INDEX(V!$R:$R,MATCH(AP115,V!$L:$L,0)),"")</f>
        <v/>
      </c>
      <c r="AP115" s="460" t="str">
        <f t="shared" si="17"/>
        <v/>
      </c>
    </row>
    <row r="116" spans="1:42"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58">
        <f t="shared" si="18"/>
        <v>0</v>
      </c>
      <c r="AE116" s="459" t="str">
        <f>IFERROR(INDEX(V!$R:$R,MATCH(AF116,V!$L:$L,0)),"")</f>
        <v/>
      </c>
      <c r="AF116" s="460" t="str">
        <f t="shared" si="12"/>
        <v/>
      </c>
      <c r="AG116" s="459" t="str">
        <f>IFERROR(INDEX(V!$R:$R,MATCH(AH116,V!$L:$L,0)),"")</f>
        <v/>
      </c>
      <c r="AH116" s="460" t="str">
        <f t="shared" si="13"/>
        <v/>
      </c>
      <c r="AI116" s="459" t="str">
        <f>IFERROR(INDEX(V!$R:$R,MATCH(AJ116,V!$L:$L,0)),"")</f>
        <v/>
      </c>
      <c r="AJ116" s="460" t="str">
        <f t="shared" si="14"/>
        <v/>
      </c>
      <c r="AK116" s="459" t="str">
        <f>IFERROR(INDEX(V!$R:$R,MATCH(AL116,V!$L:$L,0)),"")</f>
        <v/>
      </c>
      <c r="AL116" s="460" t="str">
        <f t="shared" si="15"/>
        <v/>
      </c>
      <c r="AM116" s="459" t="str">
        <f>IFERROR(INDEX(V!$R:$R,MATCH(AN116,V!$L:$L,0)),"")</f>
        <v/>
      </c>
      <c r="AN116" s="460" t="str">
        <f t="shared" si="16"/>
        <v/>
      </c>
      <c r="AO116" s="459" t="str">
        <f>IFERROR(INDEX(V!$R:$R,MATCH(AP116,V!$L:$L,0)),"")</f>
        <v/>
      </c>
      <c r="AP116" s="460" t="str">
        <f t="shared" si="17"/>
        <v/>
      </c>
    </row>
    <row r="117" spans="1:42"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58">
        <f t="shared" si="18"/>
        <v>0</v>
      </c>
      <c r="AE117" s="459" t="str">
        <f>IFERROR(INDEX(V!$R:$R,MATCH(AF117,V!$L:$L,0)),"")</f>
        <v/>
      </c>
      <c r="AF117" s="460" t="str">
        <f t="shared" si="12"/>
        <v/>
      </c>
      <c r="AG117" s="459" t="str">
        <f>IFERROR(INDEX(V!$R:$R,MATCH(AH117,V!$L:$L,0)),"")</f>
        <v/>
      </c>
      <c r="AH117" s="460" t="str">
        <f t="shared" si="13"/>
        <v/>
      </c>
      <c r="AI117" s="459" t="str">
        <f>IFERROR(INDEX(V!$R:$R,MATCH(AJ117,V!$L:$L,0)),"")</f>
        <v/>
      </c>
      <c r="AJ117" s="460" t="str">
        <f t="shared" si="14"/>
        <v/>
      </c>
      <c r="AK117" s="459" t="str">
        <f>IFERROR(INDEX(V!$R:$R,MATCH(AL117,V!$L:$L,0)),"")</f>
        <v/>
      </c>
      <c r="AL117" s="460" t="str">
        <f t="shared" si="15"/>
        <v/>
      </c>
      <c r="AM117" s="459" t="str">
        <f>IFERROR(INDEX(V!$R:$R,MATCH(AN117,V!$L:$L,0)),"")</f>
        <v/>
      </c>
      <c r="AN117" s="460" t="str">
        <f t="shared" si="16"/>
        <v/>
      </c>
      <c r="AO117" s="459" t="str">
        <f>IFERROR(INDEX(V!$R:$R,MATCH(AP117,V!$L:$L,0)),"")</f>
        <v/>
      </c>
      <c r="AP117" s="460" t="str">
        <f t="shared" si="17"/>
        <v/>
      </c>
    </row>
    <row r="118" spans="1:42"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58">
        <f t="shared" si="18"/>
        <v>0</v>
      </c>
      <c r="AE118" s="459" t="str">
        <f>IFERROR(INDEX(V!$R:$R,MATCH(AF118,V!$L:$L,0)),"")</f>
        <v/>
      </c>
      <c r="AF118" s="460" t="str">
        <f t="shared" si="12"/>
        <v/>
      </c>
      <c r="AG118" s="459" t="str">
        <f>IFERROR(INDEX(V!$R:$R,MATCH(AH118,V!$L:$L,0)),"")</f>
        <v/>
      </c>
      <c r="AH118" s="460" t="str">
        <f t="shared" si="13"/>
        <v/>
      </c>
      <c r="AI118" s="459" t="str">
        <f>IFERROR(INDEX(V!$R:$R,MATCH(AJ118,V!$L:$L,0)),"")</f>
        <v/>
      </c>
      <c r="AJ118" s="460" t="str">
        <f t="shared" si="14"/>
        <v/>
      </c>
      <c r="AK118" s="459" t="str">
        <f>IFERROR(INDEX(V!$R:$R,MATCH(AL118,V!$L:$L,0)),"")</f>
        <v/>
      </c>
      <c r="AL118" s="460" t="str">
        <f t="shared" si="15"/>
        <v/>
      </c>
      <c r="AM118" s="459" t="str">
        <f>IFERROR(INDEX(V!$R:$R,MATCH(AN118,V!$L:$L,0)),"")</f>
        <v/>
      </c>
      <c r="AN118" s="460" t="str">
        <f t="shared" si="16"/>
        <v/>
      </c>
      <c r="AO118" s="459" t="str">
        <f>IFERROR(INDEX(V!$R:$R,MATCH(AP118,V!$L:$L,0)),"")</f>
        <v/>
      </c>
      <c r="AP118" s="460" t="str">
        <f t="shared" si="17"/>
        <v/>
      </c>
    </row>
    <row r="119" spans="1:42"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58">
        <f t="shared" si="18"/>
        <v>0</v>
      </c>
      <c r="AE119" s="459" t="str">
        <f>IFERROR(INDEX(V!$R:$R,MATCH(AF119,V!$L:$L,0)),"")</f>
        <v/>
      </c>
      <c r="AF119" s="460" t="str">
        <f t="shared" si="12"/>
        <v/>
      </c>
      <c r="AG119" s="459" t="str">
        <f>IFERROR(INDEX(V!$R:$R,MATCH(AH119,V!$L:$L,0)),"")</f>
        <v/>
      </c>
      <c r="AH119" s="460" t="str">
        <f t="shared" si="13"/>
        <v/>
      </c>
      <c r="AI119" s="459" t="str">
        <f>IFERROR(INDEX(V!$R:$R,MATCH(AJ119,V!$L:$L,0)),"")</f>
        <v/>
      </c>
      <c r="AJ119" s="460" t="str">
        <f t="shared" si="14"/>
        <v/>
      </c>
      <c r="AK119" s="459" t="str">
        <f>IFERROR(INDEX(V!$R:$R,MATCH(AL119,V!$L:$L,0)),"")</f>
        <v/>
      </c>
      <c r="AL119" s="460" t="str">
        <f t="shared" si="15"/>
        <v/>
      </c>
      <c r="AM119" s="459" t="str">
        <f>IFERROR(INDEX(V!$R:$R,MATCH(AN119,V!$L:$L,0)),"")</f>
        <v/>
      </c>
      <c r="AN119" s="460" t="str">
        <f t="shared" si="16"/>
        <v/>
      </c>
      <c r="AO119" s="459" t="str">
        <f>IFERROR(INDEX(V!$R:$R,MATCH(AP119,V!$L:$L,0)),"")</f>
        <v/>
      </c>
      <c r="AP119" s="460" t="str">
        <f t="shared" si="17"/>
        <v/>
      </c>
    </row>
    <row r="120" spans="1:42"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58">
        <f t="shared" si="18"/>
        <v>0</v>
      </c>
      <c r="AE120" s="459" t="str">
        <f>IFERROR(INDEX(V!$R:$R,MATCH(AF120,V!$L:$L,0)),"")</f>
        <v/>
      </c>
      <c r="AF120" s="460" t="str">
        <f t="shared" si="12"/>
        <v/>
      </c>
      <c r="AG120" s="459" t="str">
        <f>IFERROR(INDEX(V!$R:$R,MATCH(AH120,V!$L:$L,0)),"")</f>
        <v/>
      </c>
      <c r="AH120" s="460" t="str">
        <f t="shared" si="13"/>
        <v/>
      </c>
      <c r="AI120" s="459" t="str">
        <f>IFERROR(INDEX(V!$R:$R,MATCH(AJ120,V!$L:$L,0)),"")</f>
        <v/>
      </c>
      <c r="AJ120" s="460" t="str">
        <f t="shared" si="14"/>
        <v/>
      </c>
      <c r="AK120" s="459" t="str">
        <f>IFERROR(INDEX(V!$R:$R,MATCH(AL120,V!$L:$L,0)),"")</f>
        <v/>
      </c>
      <c r="AL120" s="460" t="str">
        <f t="shared" si="15"/>
        <v/>
      </c>
      <c r="AM120" s="459" t="str">
        <f>IFERROR(INDEX(V!$R:$R,MATCH(AN120,V!$L:$L,0)),"")</f>
        <v/>
      </c>
      <c r="AN120" s="460" t="str">
        <f t="shared" si="16"/>
        <v/>
      </c>
      <c r="AO120" s="459" t="str">
        <f>IFERROR(INDEX(V!$R:$R,MATCH(AP120,V!$L:$L,0)),"")</f>
        <v/>
      </c>
      <c r="AP120" s="460" t="str">
        <f t="shared" si="17"/>
        <v/>
      </c>
    </row>
    <row r="121" spans="1:42"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58">
        <f t="shared" si="18"/>
        <v>0</v>
      </c>
      <c r="AE121" s="459" t="str">
        <f>IFERROR(INDEX(V!$R:$R,MATCH(AF121,V!$L:$L,0)),"")</f>
        <v/>
      </c>
      <c r="AF121" s="460" t="str">
        <f t="shared" si="12"/>
        <v/>
      </c>
      <c r="AG121" s="459" t="str">
        <f>IFERROR(INDEX(V!$R:$R,MATCH(AH121,V!$L:$L,0)),"")</f>
        <v/>
      </c>
      <c r="AH121" s="460" t="str">
        <f t="shared" si="13"/>
        <v/>
      </c>
      <c r="AI121" s="459" t="str">
        <f>IFERROR(INDEX(V!$R:$R,MATCH(AJ121,V!$L:$L,0)),"")</f>
        <v/>
      </c>
      <c r="AJ121" s="460" t="str">
        <f t="shared" si="14"/>
        <v/>
      </c>
      <c r="AK121" s="459" t="str">
        <f>IFERROR(INDEX(V!$R:$R,MATCH(AL121,V!$L:$L,0)),"")</f>
        <v/>
      </c>
      <c r="AL121" s="460" t="str">
        <f t="shared" si="15"/>
        <v/>
      </c>
      <c r="AM121" s="459" t="str">
        <f>IFERROR(INDEX(V!$R:$R,MATCH(AN121,V!$L:$L,0)),"")</f>
        <v/>
      </c>
      <c r="AN121" s="460" t="str">
        <f t="shared" si="16"/>
        <v/>
      </c>
      <c r="AO121" s="459" t="str">
        <f>IFERROR(INDEX(V!$R:$R,MATCH(AP121,V!$L:$L,0)),"")</f>
        <v/>
      </c>
      <c r="AP121" s="460" t="str">
        <f t="shared" si="17"/>
        <v/>
      </c>
    </row>
    <row r="122" spans="1:42"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58">
        <f t="shared" si="18"/>
        <v>0</v>
      </c>
      <c r="AE122" s="459" t="str">
        <f>IFERROR(INDEX(V!$R:$R,MATCH(AF122,V!$L:$L,0)),"")</f>
        <v/>
      </c>
      <c r="AF122" s="460" t="str">
        <f t="shared" si="12"/>
        <v/>
      </c>
      <c r="AG122" s="459" t="str">
        <f>IFERROR(INDEX(V!$R:$R,MATCH(AH122,V!$L:$L,0)),"")</f>
        <v/>
      </c>
      <c r="AH122" s="460" t="str">
        <f t="shared" si="13"/>
        <v/>
      </c>
      <c r="AI122" s="459" t="str">
        <f>IFERROR(INDEX(V!$R:$R,MATCH(AJ122,V!$L:$L,0)),"")</f>
        <v/>
      </c>
      <c r="AJ122" s="460" t="str">
        <f t="shared" si="14"/>
        <v/>
      </c>
      <c r="AK122" s="459" t="str">
        <f>IFERROR(INDEX(V!$R:$R,MATCH(AL122,V!$L:$L,0)),"")</f>
        <v/>
      </c>
      <c r="AL122" s="460" t="str">
        <f t="shared" si="15"/>
        <v/>
      </c>
      <c r="AM122" s="459" t="str">
        <f>IFERROR(INDEX(V!$R:$R,MATCH(AN122,V!$L:$L,0)),"")</f>
        <v/>
      </c>
      <c r="AN122" s="460" t="str">
        <f t="shared" si="16"/>
        <v/>
      </c>
      <c r="AO122" s="459" t="str">
        <f>IFERROR(INDEX(V!$R:$R,MATCH(AP122,V!$L:$L,0)),"")</f>
        <v/>
      </c>
      <c r="AP122" s="460" t="str">
        <f t="shared" si="17"/>
        <v/>
      </c>
    </row>
    <row r="123" spans="1:42"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58">
        <f t="shared" si="18"/>
        <v>0</v>
      </c>
      <c r="AE123" s="459" t="str">
        <f>IFERROR(INDEX(V!$R:$R,MATCH(AF123,V!$L:$L,0)),"")</f>
        <v/>
      </c>
      <c r="AF123" s="460" t="str">
        <f t="shared" si="12"/>
        <v/>
      </c>
      <c r="AG123" s="459" t="str">
        <f>IFERROR(INDEX(V!$R:$R,MATCH(AH123,V!$L:$L,0)),"")</f>
        <v/>
      </c>
      <c r="AH123" s="460" t="str">
        <f t="shared" si="13"/>
        <v/>
      </c>
      <c r="AI123" s="459" t="str">
        <f>IFERROR(INDEX(V!$R:$R,MATCH(AJ123,V!$L:$L,0)),"")</f>
        <v/>
      </c>
      <c r="AJ123" s="460" t="str">
        <f t="shared" si="14"/>
        <v/>
      </c>
      <c r="AK123" s="459" t="str">
        <f>IFERROR(INDEX(V!$R:$R,MATCH(AL123,V!$L:$L,0)),"")</f>
        <v/>
      </c>
      <c r="AL123" s="460" t="str">
        <f t="shared" si="15"/>
        <v/>
      </c>
      <c r="AM123" s="459" t="str">
        <f>IFERROR(INDEX(V!$R:$R,MATCH(AN123,V!$L:$L,0)),"")</f>
        <v/>
      </c>
      <c r="AN123" s="460" t="str">
        <f t="shared" si="16"/>
        <v/>
      </c>
      <c r="AO123" s="459" t="str">
        <f>IFERROR(INDEX(V!$R:$R,MATCH(AP123,V!$L:$L,0)),"")</f>
        <v/>
      </c>
      <c r="AP123" s="460" t="str">
        <f t="shared" si="17"/>
        <v/>
      </c>
    </row>
    <row r="124" spans="1:42"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58">
        <f t="shared" si="18"/>
        <v>0</v>
      </c>
      <c r="AE124" s="459" t="str">
        <f>IFERROR(INDEX(V!$R:$R,MATCH(AF124,V!$L:$L,0)),"")</f>
        <v/>
      </c>
      <c r="AF124" s="460" t="str">
        <f t="shared" si="12"/>
        <v/>
      </c>
      <c r="AG124" s="459" t="str">
        <f>IFERROR(INDEX(V!$R:$R,MATCH(AH124,V!$L:$L,0)),"")</f>
        <v/>
      </c>
      <c r="AH124" s="460" t="str">
        <f t="shared" si="13"/>
        <v/>
      </c>
      <c r="AI124" s="459" t="str">
        <f>IFERROR(INDEX(V!$R:$R,MATCH(AJ124,V!$L:$L,0)),"")</f>
        <v/>
      </c>
      <c r="AJ124" s="460" t="str">
        <f t="shared" si="14"/>
        <v/>
      </c>
      <c r="AK124" s="459" t="str">
        <f>IFERROR(INDEX(V!$R:$R,MATCH(AL124,V!$L:$L,0)),"")</f>
        <v/>
      </c>
      <c r="AL124" s="460" t="str">
        <f t="shared" si="15"/>
        <v/>
      </c>
      <c r="AM124" s="459" t="str">
        <f>IFERROR(INDEX(V!$R:$R,MATCH(AN124,V!$L:$L,0)),"")</f>
        <v/>
      </c>
      <c r="AN124" s="460" t="str">
        <f t="shared" si="16"/>
        <v/>
      </c>
      <c r="AO124" s="459" t="str">
        <f>IFERROR(INDEX(V!$R:$R,MATCH(AP124,V!$L:$L,0)),"")</f>
        <v/>
      </c>
      <c r="AP124" s="460" t="str">
        <f t="shared" si="17"/>
        <v/>
      </c>
    </row>
    <row r="125" spans="1:42"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58">
        <f t="shared" si="18"/>
        <v>0</v>
      </c>
      <c r="AE125" s="459" t="str">
        <f>IFERROR(INDEX(V!$R:$R,MATCH(AF125,V!$L:$L,0)),"")</f>
        <v/>
      </c>
      <c r="AF125" s="460" t="str">
        <f t="shared" si="12"/>
        <v/>
      </c>
      <c r="AG125" s="459" t="str">
        <f>IFERROR(INDEX(V!$R:$R,MATCH(AH125,V!$L:$L,0)),"")</f>
        <v/>
      </c>
      <c r="AH125" s="460" t="str">
        <f t="shared" si="13"/>
        <v/>
      </c>
      <c r="AI125" s="459" t="str">
        <f>IFERROR(INDEX(V!$R:$R,MATCH(AJ125,V!$L:$L,0)),"")</f>
        <v/>
      </c>
      <c r="AJ125" s="460" t="str">
        <f t="shared" si="14"/>
        <v/>
      </c>
      <c r="AK125" s="459" t="str">
        <f>IFERROR(INDEX(V!$R:$R,MATCH(AL125,V!$L:$L,0)),"")</f>
        <v/>
      </c>
      <c r="AL125" s="460" t="str">
        <f t="shared" si="15"/>
        <v/>
      </c>
      <c r="AM125" s="459" t="str">
        <f>IFERROR(INDEX(V!$R:$R,MATCH(AN125,V!$L:$L,0)),"")</f>
        <v/>
      </c>
      <c r="AN125" s="460" t="str">
        <f t="shared" si="16"/>
        <v/>
      </c>
      <c r="AO125" s="459" t="str">
        <f>IFERROR(INDEX(V!$R:$R,MATCH(AP125,V!$L:$L,0)),"")</f>
        <v/>
      </c>
      <c r="AP125" s="460" t="str">
        <f t="shared" si="17"/>
        <v/>
      </c>
    </row>
    <row r="126" spans="1:42"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58">
        <f t="shared" si="18"/>
        <v>0</v>
      </c>
      <c r="AE126" s="459" t="str">
        <f>IFERROR(INDEX(V!$R:$R,MATCH(AF126,V!$L:$L,0)),"")</f>
        <v/>
      </c>
      <c r="AF126" s="460" t="str">
        <f t="shared" si="12"/>
        <v/>
      </c>
      <c r="AG126" s="459" t="str">
        <f>IFERROR(INDEX(V!$R:$R,MATCH(AH126,V!$L:$L,0)),"")</f>
        <v/>
      </c>
      <c r="AH126" s="460" t="str">
        <f t="shared" si="13"/>
        <v/>
      </c>
      <c r="AI126" s="459" t="str">
        <f>IFERROR(INDEX(V!$R:$R,MATCH(AJ126,V!$L:$L,0)),"")</f>
        <v/>
      </c>
      <c r="AJ126" s="460" t="str">
        <f t="shared" si="14"/>
        <v/>
      </c>
      <c r="AK126" s="459" t="str">
        <f>IFERROR(INDEX(V!$R:$R,MATCH(AL126,V!$L:$L,0)),"")</f>
        <v/>
      </c>
      <c r="AL126" s="460" t="str">
        <f t="shared" si="15"/>
        <v/>
      </c>
      <c r="AM126" s="459" t="str">
        <f>IFERROR(INDEX(V!$R:$R,MATCH(AN126,V!$L:$L,0)),"")</f>
        <v/>
      </c>
      <c r="AN126" s="460" t="str">
        <f t="shared" si="16"/>
        <v/>
      </c>
      <c r="AO126" s="459" t="str">
        <f>IFERROR(INDEX(V!$R:$R,MATCH(AP126,V!$L:$L,0)),"")</f>
        <v/>
      </c>
      <c r="AP126" s="460" t="str">
        <f t="shared" si="17"/>
        <v/>
      </c>
    </row>
    <row r="127" spans="1:42"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58">
        <f t="shared" si="18"/>
        <v>0</v>
      </c>
      <c r="AE127" s="459" t="str">
        <f>IFERROR(INDEX(V!$R:$R,MATCH(AF127,V!$L:$L,0)),"")</f>
        <v/>
      </c>
      <c r="AF127" s="460" t="str">
        <f t="shared" si="12"/>
        <v/>
      </c>
      <c r="AG127" s="459" t="str">
        <f>IFERROR(INDEX(V!$R:$R,MATCH(AH127,V!$L:$L,0)),"")</f>
        <v/>
      </c>
      <c r="AH127" s="460" t="str">
        <f t="shared" si="13"/>
        <v/>
      </c>
      <c r="AI127" s="459" t="str">
        <f>IFERROR(INDEX(V!$R:$R,MATCH(AJ127,V!$L:$L,0)),"")</f>
        <v/>
      </c>
      <c r="AJ127" s="460" t="str">
        <f t="shared" si="14"/>
        <v/>
      </c>
      <c r="AK127" s="459" t="str">
        <f>IFERROR(INDEX(V!$R:$R,MATCH(AL127,V!$L:$L,0)),"")</f>
        <v/>
      </c>
      <c r="AL127" s="460" t="str">
        <f t="shared" si="15"/>
        <v/>
      </c>
      <c r="AM127" s="459" t="str">
        <f>IFERROR(INDEX(V!$R:$R,MATCH(AN127,V!$L:$L,0)),"")</f>
        <v/>
      </c>
      <c r="AN127" s="460" t="str">
        <f t="shared" si="16"/>
        <v/>
      </c>
      <c r="AO127" s="459" t="str">
        <f>IFERROR(INDEX(V!$R:$R,MATCH(AP127,V!$L:$L,0)),"")</f>
        <v/>
      </c>
      <c r="AP127" s="460" t="str">
        <f t="shared" si="17"/>
        <v/>
      </c>
    </row>
    <row r="128" spans="1:42"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58">
        <f t="shared" si="18"/>
        <v>0</v>
      </c>
      <c r="AE128" s="459" t="str">
        <f>IFERROR(INDEX(V!$R:$R,MATCH(AF128,V!$L:$L,0)),"")</f>
        <v/>
      </c>
      <c r="AF128" s="460" t="str">
        <f t="shared" si="12"/>
        <v/>
      </c>
      <c r="AG128" s="459" t="str">
        <f>IFERROR(INDEX(V!$R:$R,MATCH(AH128,V!$L:$L,0)),"")</f>
        <v/>
      </c>
      <c r="AH128" s="460" t="str">
        <f t="shared" si="13"/>
        <v/>
      </c>
      <c r="AI128" s="459" t="str">
        <f>IFERROR(INDEX(V!$R:$R,MATCH(AJ128,V!$L:$L,0)),"")</f>
        <v/>
      </c>
      <c r="AJ128" s="460" t="str">
        <f t="shared" si="14"/>
        <v/>
      </c>
      <c r="AK128" s="459" t="str">
        <f>IFERROR(INDEX(V!$R:$R,MATCH(AL128,V!$L:$L,0)),"")</f>
        <v/>
      </c>
      <c r="AL128" s="460" t="str">
        <f t="shared" si="15"/>
        <v/>
      </c>
      <c r="AM128" s="459" t="str">
        <f>IFERROR(INDEX(V!$R:$R,MATCH(AN128,V!$L:$L,0)),"")</f>
        <v/>
      </c>
      <c r="AN128" s="460" t="str">
        <f t="shared" si="16"/>
        <v/>
      </c>
      <c r="AO128" s="459" t="str">
        <f>IFERROR(INDEX(V!$R:$R,MATCH(AP128,V!$L:$L,0)),"")</f>
        <v/>
      </c>
      <c r="AP128" s="460" t="str">
        <f t="shared" si="17"/>
        <v/>
      </c>
    </row>
    <row r="129" spans="1:42"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58">
        <f t="shared" si="18"/>
        <v>0</v>
      </c>
      <c r="AE129" s="459" t="str">
        <f>IFERROR(INDEX(V!$R:$R,MATCH(AF129,V!$L:$L,0)),"")</f>
        <v/>
      </c>
      <c r="AF129" s="460" t="str">
        <f t="shared" si="12"/>
        <v/>
      </c>
      <c r="AG129" s="459" t="str">
        <f>IFERROR(INDEX(V!$R:$R,MATCH(AH129,V!$L:$L,0)),"")</f>
        <v/>
      </c>
      <c r="AH129" s="460" t="str">
        <f t="shared" si="13"/>
        <v/>
      </c>
      <c r="AI129" s="459" t="str">
        <f>IFERROR(INDEX(V!$R:$R,MATCH(AJ129,V!$L:$L,0)),"")</f>
        <v/>
      </c>
      <c r="AJ129" s="460" t="str">
        <f t="shared" si="14"/>
        <v/>
      </c>
      <c r="AK129" s="459" t="str">
        <f>IFERROR(INDEX(V!$R:$R,MATCH(AL129,V!$L:$L,0)),"")</f>
        <v/>
      </c>
      <c r="AL129" s="460" t="str">
        <f t="shared" si="15"/>
        <v/>
      </c>
      <c r="AM129" s="459" t="str">
        <f>IFERROR(INDEX(V!$R:$R,MATCH(AN129,V!$L:$L,0)),"")</f>
        <v/>
      </c>
      <c r="AN129" s="460" t="str">
        <f t="shared" si="16"/>
        <v/>
      </c>
      <c r="AO129" s="459" t="str">
        <f>IFERROR(INDEX(V!$R:$R,MATCH(AP129,V!$L:$L,0)),"")</f>
        <v/>
      </c>
      <c r="AP129" s="460" t="str">
        <f t="shared" si="17"/>
        <v/>
      </c>
    </row>
    <row r="130" spans="1:42"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58">
        <f t="shared" si="18"/>
        <v>0</v>
      </c>
      <c r="AE130" s="459" t="str">
        <f>IFERROR(INDEX(V!$R:$R,MATCH(AF130,V!$L:$L,0)),"")</f>
        <v/>
      </c>
      <c r="AF130" s="460" t="str">
        <f t="shared" si="12"/>
        <v/>
      </c>
      <c r="AG130" s="459" t="str">
        <f>IFERROR(INDEX(V!$R:$R,MATCH(AH130,V!$L:$L,0)),"")</f>
        <v/>
      </c>
      <c r="AH130" s="460" t="str">
        <f t="shared" si="13"/>
        <v/>
      </c>
      <c r="AI130" s="459" t="str">
        <f>IFERROR(INDEX(V!$R:$R,MATCH(AJ130,V!$L:$L,0)),"")</f>
        <v/>
      </c>
      <c r="AJ130" s="460" t="str">
        <f t="shared" si="14"/>
        <v/>
      </c>
      <c r="AK130" s="459" t="str">
        <f>IFERROR(INDEX(V!$R:$R,MATCH(AL130,V!$L:$L,0)),"")</f>
        <v/>
      </c>
      <c r="AL130" s="460" t="str">
        <f t="shared" si="15"/>
        <v/>
      </c>
      <c r="AM130" s="459" t="str">
        <f>IFERROR(INDEX(V!$R:$R,MATCH(AN130,V!$L:$L,0)),"")</f>
        <v/>
      </c>
      <c r="AN130" s="460" t="str">
        <f t="shared" si="16"/>
        <v/>
      </c>
      <c r="AO130" s="459" t="str">
        <f>IFERROR(INDEX(V!$R:$R,MATCH(AP130,V!$L:$L,0)),"")</f>
        <v/>
      </c>
      <c r="AP130" s="460" t="str">
        <f t="shared" si="17"/>
        <v/>
      </c>
    </row>
    <row r="131" spans="1:42"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58">
        <f t="shared" si="18"/>
        <v>0</v>
      </c>
      <c r="AE131" s="459" t="str">
        <f>IFERROR(INDEX(V!$R:$R,MATCH(AF131,V!$L:$L,0)),"")</f>
        <v/>
      </c>
      <c r="AF131" s="460" t="str">
        <f t="shared" si="12"/>
        <v/>
      </c>
      <c r="AG131" s="459" t="str">
        <f>IFERROR(INDEX(V!$R:$R,MATCH(AH131,V!$L:$L,0)),"")</f>
        <v/>
      </c>
      <c r="AH131" s="460" t="str">
        <f t="shared" si="13"/>
        <v/>
      </c>
      <c r="AI131" s="459" t="str">
        <f>IFERROR(INDEX(V!$R:$R,MATCH(AJ131,V!$L:$L,0)),"")</f>
        <v/>
      </c>
      <c r="AJ131" s="460" t="str">
        <f t="shared" si="14"/>
        <v/>
      </c>
      <c r="AK131" s="459" t="str">
        <f>IFERROR(INDEX(V!$R:$R,MATCH(AL131,V!$L:$L,0)),"")</f>
        <v/>
      </c>
      <c r="AL131" s="460" t="str">
        <f t="shared" si="15"/>
        <v/>
      </c>
      <c r="AM131" s="459" t="str">
        <f>IFERROR(INDEX(V!$R:$R,MATCH(AN131,V!$L:$L,0)),"")</f>
        <v/>
      </c>
      <c r="AN131" s="460" t="str">
        <f t="shared" si="16"/>
        <v/>
      </c>
      <c r="AO131" s="459" t="str">
        <f>IFERROR(INDEX(V!$R:$R,MATCH(AP131,V!$L:$L,0)),"")</f>
        <v/>
      </c>
      <c r="AP131" s="460" t="str">
        <f t="shared" si="17"/>
        <v/>
      </c>
    </row>
    <row r="132" spans="1:42"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58">
        <f t="shared" si="18"/>
        <v>0</v>
      </c>
      <c r="AE132" s="459" t="str">
        <f>IFERROR(INDEX(V!$R:$R,MATCH(AF132,V!$L:$L,0)),"")</f>
        <v/>
      </c>
      <c r="AF132" s="460" t="str">
        <f t="shared" si="12"/>
        <v/>
      </c>
      <c r="AG132" s="459" t="str">
        <f>IFERROR(INDEX(V!$R:$R,MATCH(AH132,V!$L:$L,0)),"")</f>
        <v/>
      </c>
      <c r="AH132" s="460" t="str">
        <f t="shared" si="13"/>
        <v/>
      </c>
      <c r="AI132" s="459" t="str">
        <f>IFERROR(INDEX(V!$R:$R,MATCH(AJ132,V!$L:$L,0)),"")</f>
        <v/>
      </c>
      <c r="AJ132" s="460" t="str">
        <f t="shared" si="14"/>
        <v/>
      </c>
      <c r="AK132" s="459" t="str">
        <f>IFERROR(INDEX(V!$R:$R,MATCH(AL132,V!$L:$L,0)),"")</f>
        <v/>
      </c>
      <c r="AL132" s="460" t="str">
        <f t="shared" si="15"/>
        <v/>
      </c>
      <c r="AM132" s="459" t="str">
        <f>IFERROR(INDEX(V!$R:$R,MATCH(AN132,V!$L:$L,0)),"")</f>
        <v/>
      </c>
      <c r="AN132" s="460" t="str">
        <f t="shared" si="16"/>
        <v/>
      </c>
      <c r="AO132" s="459" t="str">
        <f>IFERROR(INDEX(V!$R:$R,MATCH(AP132,V!$L:$L,0)),"")</f>
        <v/>
      </c>
      <c r="AP132" s="460" t="str">
        <f t="shared" si="17"/>
        <v/>
      </c>
    </row>
    <row r="133" spans="1:42"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58">
        <f t="shared" si="18"/>
        <v>0</v>
      </c>
      <c r="AE133" s="459" t="str">
        <f>IFERROR(INDEX(V!$R:$R,MATCH(AF133,V!$L:$L,0)),"")</f>
        <v/>
      </c>
      <c r="AF133" s="460" t="str">
        <f t="shared" si="12"/>
        <v/>
      </c>
      <c r="AG133" s="459" t="str">
        <f>IFERROR(INDEX(V!$R:$R,MATCH(AH133,V!$L:$L,0)),"")</f>
        <v/>
      </c>
      <c r="AH133" s="460" t="str">
        <f t="shared" si="13"/>
        <v/>
      </c>
      <c r="AI133" s="459" t="str">
        <f>IFERROR(INDEX(V!$R:$R,MATCH(AJ133,V!$L:$L,0)),"")</f>
        <v/>
      </c>
      <c r="AJ133" s="460" t="str">
        <f t="shared" si="14"/>
        <v/>
      </c>
      <c r="AK133" s="459" t="str">
        <f>IFERROR(INDEX(V!$R:$R,MATCH(AL133,V!$L:$L,0)),"")</f>
        <v/>
      </c>
      <c r="AL133" s="460" t="str">
        <f t="shared" si="15"/>
        <v/>
      </c>
      <c r="AM133" s="459" t="str">
        <f>IFERROR(INDEX(V!$R:$R,MATCH(AN133,V!$L:$L,0)),"")</f>
        <v/>
      </c>
      <c r="AN133" s="460" t="str">
        <f t="shared" si="16"/>
        <v/>
      </c>
      <c r="AO133" s="459" t="str">
        <f>IFERROR(INDEX(V!$R:$R,MATCH(AP133,V!$L:$L,0)),"")</f>
        <v/>
      </c>
      <c r="AP133" s="460" t="str">
        <f t="shared" si="17"/>
        <v/>
      </c>
    </row>
    <row r="134" spans="1:42"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58">
        <f t="shared" si="18"/>
        <v>0</v>
      </c>
      <c r="AE134" s="459" t="str">
        <f>IFERROR(INDEX(V!$R:$R,MATCH(AF134,V!$L:$L,0)),"")</f>
        <v/>
      </c>
      <c r="AF134" s="460" t="str">
        <f t="shared" si="12"/>
        <v/>
      </c>
      <c r="AG134" s="459" t="str">
        <f>IFERROR(INDEX(V!$R:$R,MATCH(AH134,V!$L:$L,0)),"")</f>
        <v/>
      </c>
      <c r="AH134" s="460" t="str">
        <f t="shared" si="13"/>
        <v/>
      </c>
      <c r="AI134" s="459" t="str">
        <f>IFERROR(INDEX(V!$R:$R,MATCH(AJ134,V!$L:$L,0)),"")</f>
        <v/>
      </c>
      <c r="AJ134" s="460" t="str">
        <f t="shared" si="14"/>
        <v/>
      </c>
      <c r="AK134" s="459" t="str">
        <f>IFERROR(INDEX(V!$R:$R,MATCH(AL134,V!$L:$L,0)),"")</f>
        <v/>
      </c>
      <c r="AL134" s="460" t="str">
        <f t="shared" si="15"/>
        <v/>
      </c>
      <c r="AM134" s="459" t="str">
        <f>IFERROR(INDEX(V!$R:$R,MATCH(AN134,V!$L:$L,0)),"")</f>
        <v/>
      </c>
      <c r="AN134" s="460" t="str">
        <f t="shared" si="16"/>
        <v/>
      </c>
      <c r="AO134" s="459" t="str">
        <f>IFERROR(INDEX(V!$R:$R,MATCH(AP134,V!$L:$L,0)),"")</f>
        <v/>
      </c>
      <c r="AP134" s="460" t="str">
        <f t="shared" si="17"/>
        <v/>
      </c>
    </row>
    <row r="135" spans="1:42" hidden="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58">
        <f t="shared" si="18"/>
        <v>0</v>
      </c>
      <c r="AE135" s="459" t="str">
        <f>IFERROR(INDEX(V!$R:$R,MATCH(AF135,V!$L:$L,0)),"")</f>
        <v/>
      </c>
      <c r="AF135" s="460" t="str">
        <f t="shared" ref="AF135:AF198" si="19">IFERROR(LEFT($B135,(FIND(",",$B135,1)-1)),"")</f>
        <v/>
      </c>
      <c r="AG135" s="459" t="str">
        <f>IFERROR(INDEX(V!$R:$R,MATCH(AH135,V!$L:$L,0)),"")</f>
        <v/>
      </c>
      <c r="AH135" s="460" t="str">
        <f t="shared" ref="AH135:AH198" si="20">IFERROR(MID($B135,FIND(", ",$B135)+2,256),"")</f>
        <v/>
      </c>
      <c r="AI135" s="459" t="str">
        <f>IFERROR(INDEX(V!$R:$R,MATCH(AJ135,V!$L:$L,0)),"")</f>
        <v/>
      </c>
      <c r="AJ135" s="460" t="str">
        <f t="shared" ref="AJ135:AJ198" si="21">IFERROR(MID($B135,FIND("^",SUBSTITUTE($B135,", ","^",1))+2,FIND("^",SUBSTITUTE($B135,", ","^",2))-FIND("^",SUBSTITUTE($B135,", ","^",1))-2),"")</f>
        <v/>
      </c>
      <c r="AK135" s="459" t="str">
        <f>IFERROR(INDEX(V!$R:$R,MATCH(AL135,V!$L:$L,0)),"")</f>
        <v/>
      </c>
      <c r="AL135" s="460" t="str">
        <f t="shared" ref="AL135:AL198" si="22">IFERROR(MID($B135,FIND(", ",$B135,FIND(", ",$B135,FIND(", ",$B135))+1)+2,30000),"")</f>
        <v/>
      </c>
      <c r="AM135" s="459" t="str">
        <f>IFERROR(INDEX(V!$R:$R,MATCH(AN135,V!$L:$L,0)),"")</f>
        <v/>
      </c>
      <c r="AN135" s="460" t="str">
        <f t="shared" ref="AN135:AN198" si="23">IFERROR(MID($B135,FIND(", ",$B135,FIND(", ",$B135)+1)+2,FIND(", ",$B135,FIND(", ",$B135,FIND(", ",$B135)+1)+1)-FIND(", ",$B135,FIND(", ",$B135)+1)-2),"")</f>
        <v/>
      </c>
      <c r="AO135" s="459" t="str">
        <f>IFERROR(INDEX(V!$R:$R,MATCH(AP135,V!$L:$L,0)),"")</f>
        <v/>
      </c>
      <c r="AP135" s="460" t="str">
        <f t="shared" ref="AP135:AP198" si="24">IFERROR(MID($B135,FIND(", ",$B135,FIND(", ",$B135,FIND(", ",$B135)+1)+1)+2,30000),"")</f>
        <v/>
      </c>
    </row>
    <row r="136" spans="1:42" hidden="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58">
        <f t="shared" si="18"/>
        <v>0</v>
      </c>
      <c r="AE136" s="459" t="str">
        <f>IFERROR(INDEX(V!$R:$R,MATCH(AF136,V!$L:$L,0)),"")</f>
        <v/>
      </c>
      <c r="AF136" s="460" t="str">
        <f t="shared" si="19"/>
        <v/>
      </c>
      <c r="AG136" s="459" t="str">
        <f>IFERROR(INDEX(V!$R:$R,MATCH(AH136,V!$L:$L,0)),"")</f>
        <v/>
      </c>
      <c r="AH136" s="460" t="str">
        <f t="shared" si="20"/>
        <v/>
      </c>
      <c r="AI136" s="459" t="str">
        <f>IFERROR(INDEX(V!$R:$R,MATCH(AJ136,V!$L:$L,0)),"")</f>
        <v/>
      </c>
      <c r="AJ136" s="460" t="str">
        <f t="shared" si="21"/>
        <v/>
      </c>
      <c r="AK136" s="459" t="str">
        <f>IFERROR(INDEX(V!$R:$R,MATCH(AL136,V!$L:$L,0)),"")</f>
        <v/>
      </c>
      <c r="AL136" s="460" t="str">
        <f t="shared" si="22"/>
        <v/>
      </c>
      <c r="AM136" s="459" t="str">
        <f>IFERROR(INDEX(V!$R:$R,MATCH(AN136,V!$L:$L,0)),"")</f>
        <v/>
      </c>
      <c r="AN136" s="460" t="str">
        <f t="shared" si="23"/>
        <v/>
      </c>
      <c r="AO136" s="459" t="str">
        <f>IFERROR(INDEX(V!$R:$R,MATCH(AP136,V!$L:$L,0)),"")</f>
        <v/>
      </c>
      <c r="AP136" s="460" t="str">
        <f t="shared" si="24"/>
        <v/>
      </c>
    </row>
    <row r="137" spans="1:42"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58">
        <f t="shared" si="18"/>
        <v>0</v>
      </c>
      <c r="AE137" s="459" t="str">
        <f>IFERROR(INDEX(V!$R:$R,MATCH(AF137,V!$L:$L,0)),"")</f>
        <v/>
      </c>
      <c r="AF137" s="460" t="str">
        <f t="shared" si="19"/>
        <v/>
      </c>
      <c r="AG137" s="459" t="str">
        <f>IFERROR(INDEX(V!$R:$R,MATCH(AH137,V!$L:$L,0)),"")</f>
        <v/>
      </c>
      <c r="AH137" s="460" t="str">
        <f t="shared" si="20"/>
        <v/>
      </c>
      <c r="AI137" s="459" t="str">
        <f>IFERROR(INDEX(V!$R:$R,MATCH(AJ137,V!$L:$L,0)),"")</f>
        <v/>
      </c>
      <c r="AJ137" s="460" t="str">
        <f t="shared" si="21"/>
        <v/>
      </c>
      <c r="AK137" s="459" t="str">
        <f>IFERROR(INDEX(V!$R:$R,MATCH(AL137,V!$L:$L,0)),"")</f>
        <v/>
      </c>
      <c r="AL137" s="460" t="str">
        <f t="shared" si="22"/>
        <v/>
      </c>
      <c r="AM137" s="459" t="str">
        <f>IFERROR(INDEX(V!$R:$R,MATCH(AN137,V!$L:$L,0)),"")</f>
        <v/>
      </c>
      <c r="AN137" s="460" t="str">
        <f t="shared" si="23"/>
        <v/>
      </c>
      <c r="AO137" s="459" t="str">
        <f>IFERROR(INDEX(V!$R:$R,MATCH(AP137,V!$L:$L,0)),"")</f>
        <v/>
      </c>
      <c r="AP137" s="460" t="str">
        <f t="shared" si="24"/>
        <v/>
      </c>
    </row>
    <row r="138" spans="1:42"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58">
        <f t="shared" si="18"/>
        <v>0</v>
      </c>
      <c r="AE138" s="459" t="str">
        <f>IFERROR(INDEX(V!$R:$R,MATCH(AF138,V!$L:$L,0)),"")</f>
        <v/>
      </c>
      <c r="AF138" s="460" t="str">
        <f t="shared" si="19"/>
        <v/>
      </c>
      <c r="AG138" s="459" t="str">
        <f>IFERROR(INDEX(V!$R:$R,MATCH(AH138,V!$L:$L,0)),"")</f>
        <v/>
      </c>
      <c r="AH138" s="460" t="str">
        <f t="shared" si="20"/>
        <v/>
      </c>
      <c r="AI138" s="459" t="str">
        <f>IFERROR(INDEX(V!$R:$R,MATCH(AJ138,V!$L:$L,0)),"")</f>
        <v/>
      </c>
      <c r="AJ138" s="460" t="str">
        <f t="shared" si="21"/>
        <v/>
      </c>
      <c r="AK138" s="459" t="str">
        <f>IFERROR(INDEX(V!$R:$R,MATCH(AL138,V!$L:$L,0)),"")</f>
        <v/>
      </c>
      <c r="AL138" s="460" t="str">
        <f t="shared" si="22"/>
        <v/>
      </c>
      <c r="AM138" s="459" t="str">
        <f>IFERROR(INDEX(V!$R:$R,MATCH(AN138,V!$L:$L,0)),"")</f>
        <v/>
      </c>
      <c r="AN138" s="460" t="str">
        <f t="shared" si="23"/>
        <v/>
      </c>
      <c r="AO138" s="459" t="str">
        <f>IFERROR(INDEX(V!$R:$R,MATCH(AP138,V!$L:$L,0)),"")</f>
        <v/>
      </c>
      <c r="AP138" s="460" t="str">
        <f t="shared" si="24"/>
        <v/>
      </c>
    </row>
    <row r="139" spans="1:42"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58">
        <f t="shared" si="18"/>
        <v>0</v>
      </c>
      <c r="AE139" s="459" t="str">
        <f>IFERROR(INDEX(V!$R:$R,MATCH(AF139,V!$L:$L,0)),"")</f>
        <v/>
      </c>
      <c r="AF139" s="460" t="str">
        <f t="shared" si="19"/>
        <v/>
      </c>
      <c r="AG139" s="459" t="str">
        <f>IFERROR(INDEX(V!$R:$R,MATCH(AH139,V!$L:$L,0)),"")</f>
        <v/>
      </c>
      <c r="AH139" s="460" t="str">
        <f t="shared" si="20"/>
        <v/>
      </c>
      <c r="AI139" s="459" t="str">
        <f>IFERROR(INDEX(V!$R:$R,MATCH(AJ139,V!$L:$L,0)),"")</f>
        <v/>
      </c>
      <c r="AJ139" s="460" t="str">
        <f t="shared" si="21"/>
        <v/>
      </c>
      <c r="AK139" s="459" t="str">
        <f>IFERROR(INDEX(V!$R:$R,MATCH(AL139,V!$L:$L,0)),"")</f>
        <v/>
      </c>
      <c r="AL139" s="460" t="str">
        <f t="shared" si="22"/>
        <v/>
      </c>
      <c r="AM139" s="459" t="str">
        <f>IFERROR(INDEX(V!$R:$R,MATCH(AN139,V!$L:$L,0)),"")</f>
        <v/>
      </c>
      <c r="AN139" s="460" t="str">
        <f t="shared" si="23"/>
        <v/>
      </c>
      <c r="AO139" s="459" t="str">
        <f>IFERROR(INDEX(V!$R:$R,MATCH(AP139,V!$L:$L,0)),"")</f>
        <v/>
      </c>
      <c r="AP139" s="460" t="str">
        <f t="shared" si="24"/>
        <v/>
      </c>
    </row>
    <row r="140" spans="1:42"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58">
        <f t="shared" si="18"/>
        <v>0</v>
      </c>
      <c r="AE140" s="459" t="str">
        <f>IFERROR(INDEX(V!$R:$R,MATCH(AF140,V!$L:$L,0)),"")</f>
        <v/>
      </c>
      <c r="AF140" s="460" t="str">
        <f t="shared" si="19"/>
        <v/>
      </c>
      <c r="AG140" s="459" t="str">
        <f>IFERROR(INDEX(V!$R:$R,MATCH(AH140,V!$L:$L,0)),"")</f>
        <v/>
      </c>
      <c r="AH140" s="460" t="str">
        <f t="shared" si="20"/>
        <v/>
      </c>
      <c r="AI140" s="459" t="str">
        <f>IFERROR(INDEX(V!$R:$R,MATCH(AJ140,V!$L:$L,0)),"")</f>
        <v/>
      </c>
      <c r="AJ140" s="460" t="str">
        <f t="shared" si="21"/>
        <v/>
      </c>
      <c r="AK140" s="459" t="str">
        <f>IFERROR(INDEX(V!$R:$R,MATCH(AL140,V!$L:$L,0)),"")</f>
        <v/>
      </c>
      <c r="AL140" s="460" t="str">
        <f t="shared" si="22"/>
        <v/>
      </c>
      <c r="AM140" s="459" t="str">
        <f>IFERROR(INDEX(V!$R:$R,MATCH(AN140,V!$L:$L,0)),"")</f>
        <v/>
      </c>
      <c r="AN140" s="460" t="str">
        <f t="shared" si="23"/>
        <v/>
      </c>
      <c r="AO140" s="459" t="str">
        <f>IFERROR(INDEX(V!$R:$R,MATCH(AP140,V!$L:$L,0)),"")</f>
        <v/>
      </c>
      <c r="AP140" s="460" t="str">
        <f t="shared" si="24"/>
        <v/>
      </c>
    </row>
    <row r="141" spans="1:42"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58">
        <f t="shared" si="18"/>
        <v>0</v>
      </c>
      <c r="AE141" s="459" t="str">
        <f>IFERROR(INDEX(V!$R:$R,MATCH(AF141,V!$L:$L,0)),"")</f>
        <v/>
      </c>
      <c r="AF141" s="460" t="str">
        <f t="shared" si="19"/>
        <v/>
      </c>
      <c r="AG141" s="459" t="str">
        <f>IFERROR(INDEX(V!$R:$R,MATCH(AH141,V!$L:$L,0)),"")</f>
        <v/>
      </c>
      <c r="AH141" s="460" t="str">
        <f t="shared" si="20"/>
        <v/>
      </c>
      <c r="AI141" s="459" t="str">
        <f>IFERROR(INDEX(V!$R:$R,MATCH(AJ141,V!$L:$L,0)),"")</f>
        <v/>
      </c>
      <c r="AJ141" s="460" t="str">
        <f t="shared" si="21"/>
        <v/>
      </c>
      <c r="AK141" s="459" t="str">
        <f>IFERROR(INDEX(V!$R:$R,MATCH(AL141,V!$L:$L,0)),"")</f>
        <v/>
      </c>
      <c r="AL141" s="460" t="str">
        <f t="shared" si="22"/>
        <v/>
      </c>
      <c r="AM141" s="459" t="str">
        <f>IFERROR(INDEX(V!$R:$R,MATCH(AN141,V!$L:$L,0)),"")</f>
        <v/>
      </c>
      <c r="AN141" s="460" t="str">
        <f t="shared" si="23"/>
        <v/>
      </c>
      <c r="AO141" s="459" t="str">
        <f>IFERROR(INDEX(V!$R:$R,MATCH(AP141,V!$L:$L,0)),"")</f>
        <v/>
      </c>
      <c r="AP141" s="460" t="str">
        <f t="shared" si="24"/>
        <v/>
      </c>
    </row>
    <row r="142" spans="1:42"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58">
        <f t="shared" si="18"/>
        <v>0</v>
      </c>
      <c r="AE142" s="459" t="str">
        <f>IFERROR(INDEX(V!$R:$R,MATCH(AF142,V!$L:$L,0)),"")</f>
        <v/>
      </c>
      <c r="AF142" s="460" t="str">
        <f t="shared" si="19"/>
        <v/>
      </c>
      <c r="AG142" s="459" t="str">
        <f>IFERROR(INDEX(V!$R:$R,MATCH(AH142,V!$L:$L,0)),"")</f>
        <v/>
      </c>
      <c r="AH142" s="460" t="str">
        <f t="shared" si="20"/>
        <v/>
      </c>
      <c r="AI142" s="459" t="str">
        <f>IFERROR(INDEX(V!$R:$R,MATCH(AJ142,V!$L:$L,0)),"")</f>
        <v/>
      </c>
      <c r="AJ142" s="460" t="str">
        <f t="shared" si="21"/>
        <v/>
      </c>
      <c r="AK142" s="459" t="str">
        <f>IFERROR(INDEX(V!$R:$R,MATCH(AL142,V!$L:$L,0)),"")</f>
        <v/>
      </c>
      <c r="AL142" s="460" t="str">
        <f t="shared" si="22"/>
        <v/>
      </c>
      <c r="AM142" s="459" t="str">
        <f>IFERROR(INDEX(V!$R:$R,MATCH(AN142,V!$L:$L,0)),"")</f>
        <v/>
      </c>
      <c r="AN142" s="460" t="str">
        <f t="shared" si="23"/>
        <v/>
      </c>
      <c r="AO142" s="459" t="str">
        <f>IFERROR(INDEX(V!$R:$R,MATCH(AP142,V!$L:$L,0)),"")</f>
        <v/>
      </c>
      <c r="AP142" s="460" t="str">
        <f t="shared" si="24"/>
        <v/>
      </c>
    </row>
    <row r="143" spans="1:42"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58">
        <f t="shared" si="18"/>
        <v>0</v>
      </c>
      <c r="AE143" s="459" t="str">
        <f>IFERROR(INDEX(V!$R:$R,MATCH(AF143,V!$L:$L,0)),"")</f>
        <v/>
      </c>
      <c r="AF143" s="460" t="str">
        <f t="shared" si="19"/>
        <v/>
      </c>
      <c r="AG143" s="459" t="str">
        <f>IFERROR(INDEX(V!$R:$R,MATCH(AH143,V!$L:$L,0)),"")</f>
        <v/>
      </c>
      <c r="AH143" s="460" t="str">
        <f t="shared" si="20"/>
        <v/>
      </c>
      <c r="AI143" s="459" t="str">
        <f>IFERROR(INDEX(V!$R:$R,MATCH(AJ143,V!$L:$L,0)),"")</f>
        <v/>
      </c>
      <c r="AJ143" s="460" t="str">
        <f t="shared" si="21"/>
        <v/>
      </c>
      <c r="AK143" s="459" t="str">
        <f>IFERROR(INDEX(V!$R:$R,MATCH(AL143,V!$L:$L,0)),"")</f>
        <v/>
      </c>
      <c r="AL143" s="460" t="str">
        <f t="shared" si="22"/>
        <v/>
      </c>
      <c r="AM143" s="459" t="str">
        <f>IFERROR(INDEX(V!$R:$R,MATCH(AN143,V!$L:$L,0)),"")</f>
        <v/>
      </c>
      <c r="AN143" s="460" t="str">
        <f t="shared" si="23"/>
        <v/>
      </c>
      <c r="AO143" s="459" t="str">
        <f>IFERROR(INDEX(V!$R:$R,MATCH(AP143,V!$L:$L,0)),"")</f>
        <v/>
      </c>
      <c r="AP143" s="460" t="str">
        <f t="shared" si="24"/>
        <v/>
      </c>
    </row>
    <row r="144" spans="1:42"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58">
        <f t="shared" si="18"/>
        <v>0</v>
      </c>
      <c r="AE144" s="459" t="str">
        <f>IFERROR(INDEX(V!$R:$R,MATCH(AF144,V!$L:$L,0)),"")</f>
        <v/>
      </c>
      <c r="AF144" s="460" t="str">
        <f t="shared" si="19"/>
        <v/>
      </c>
      <c r="AG144" s="459" t="str">
        <f>IFERROR(INDEX(V!$R:$R,MATCH(AH144,V!$L:$L,0)),"")</f>
        <v/>
      </c>
      <c r="AH144" s="460" t="str">
        <f t="shared" si="20"/>
        <v/>
      </c>
      <c r="AI144" s="459" t="str">
        <f>IFERROR(INDEX(V!$R:$R,MATCH(AJ144,V!$L:$L,0)),"")</f>
        <v/>
      </c>
      <c r="AJ144" s="460" t="str">
        <f t="shared" si="21"/>
        <v/>
      </c>
      <c r="AK144" s="459" t="str">
        <f>IFERROR(INDEX(V!$R:$R,MATCH(AL144,V!$L:$L,0)),"")</f>
        <v/>
      </c>
      <c r="AL144" s="460" t="str">
        <f t="shared" si="22"/>
        <v/>
      </c>
      <c r="AM144" s="459" t="str">
        <f>IFERROR(INDEX(V!$R:$R,MATCH(AN144,V!$L:$L,0)),"")</f>
        <v/>
      </c>
      <c r="AN144" s="460" t="str">
        <f t="shared" si="23"/>
        <v/>
      </c>
      <c r="AO144" s="459" t="str">
        <f>IFERROR(INDEX(V!$R:$R,MATCH(AP144,V!$L:$L,0)),"")</f>
        <v/>
      </c>
      <c r="AP144" s="460" t="str">
        <f t="shared" si="24"/>
        <v/>
      </c>
    </row>
    <row r="145" spans="1:42"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58">
        <f t="shared" si="18"/>
        <v>0</v>
      </c>
      <c r="AE145" s="459" t="str">
        <f>IFERROR(INDEX(V!$R:$R,MATCH(AF145,V!$L:$L,0)),"")</f>
        <v/>
      </c>
      <c r="AF145" s="460" t="str">
        <f t="shared" si="19"/>
        <v/>
      </c>
      <c r="AG145" s="459" t="str">
        <f>IFERROR(INDEX(V!$R:$R,MATCH(AH145,V!$L:$L,0)),"")</f>
        <v/>
      </c>
      <c r="AH145" s="460" t="str">
        <f t="shared" si="20"/>
        <v/>
      </c>
      <c r="AI145" s="459" t="str">
        <f>IFERROR(INDEX(V!$R:$R,MATCH(AJ145,V!$L:$L,0)),"")</f>
        <v/>
      </c>
      <c r="AJ145" s="460" t="str">
        <f t="shared" si="21"/>
        <v/>
      </c>
      <c r="AK145" s="459" t="str">
        <f>IFERROR(INDEX(V!$R:$R,MATCH(AL145,V!$L:$L,0)),"")</f>
        <v/>
      </c>
      <c r="AL145" s="460" t="str">
        <f t="shared" si="22"/>
        <v/>
      </c>
      <c r="AM145" s="459" t="str">
        <f>IFERROR(INDEX(V!$R:$R,MATCH(AN145,V!$L:$L,0)),"")</f>
        <v/>
      </c>
      <c r="AN145" s="460" t="str">
        <f t="shared" si="23"/>
        <v/>
      </c>
      <c r="AO145" s="459" t="str">
        <f>IFERROR(INDEX(V!$R:$R,MATCH(AP145,V!$L:$L,0)),"")</f>
        <v/>
      </c>
      <c r="AP145" s="460" t="str">
        <f t="shared" si="24"/>
        <v/>
      </c>
    </row>
    <row r="146" spans="1:42"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58">
        <f t="shared" si="18"/>
        <v>0</v>
      </c>
      <c r="AE146" s="459" t="str">
        <f>IFERROR(INDEX(V!$R:$R,MATCH(AF146,V!$L:$L,0)),"")</f>
        <v/>
      </c>
      <c r="AF146" s="460" t="str">
        <f t="shared" si="19"/>
        <v/>
      </c>
      <c r="AG146" s="459" t="str">
        <f>IFERROR(INDEX(V!$R:$R,MATCH(AH146,V!$L:$L,0)),"")</f>
        <v/>
      </c>
      <c r="AH146" s="460" t="str">
        <f t="shared" si="20"/>
        <v/>
      </c>
      <c r="AI146" s="459" t="str">
        <f>IFERROR(INDEX(V!$R:$R,MATCH(AJ146,V!$L:$L,0)),"")</f>
        <v/>
      </c>
      <c r="AJ146" s="460" t="str">
        <f t="shared" si="21"/>
        <v/>
      </c>
      <c r="AK146" s="459" t="str">
        <f>IFERROR(INDEX(V!$R:$R,MATCH(AL146,V!$L:$L,0)),"")</f>
        <v/>
      </c>
      <c r="AL146" s="460" t="str">
        <f t="shared" si="22"/>
        <v/>
      </c>
      <c r="AM146" s="459" t="str">
        <f>IFERROR(INDEX(V!$R:$R,MATCH(AN146,V!$L:$L,0)),"")</f>
        <v/>
      </c>
      <c r="AN146" s="460" t="str">
        <f t="shared" si="23"/>
        <v/>
      </c>
      <c r="AO146" s="459" t="str">
        <f>IFERROR(INDEX(V!$R:$R,MATCH(AP146,V!$L:$L,0)),"")</f>
        <v/>
      </c>
      <c r="AP146" s="460" t="str">
        <f t="shared" si="24"/>
        <v/>
      </c>
    </row>
    <row r="147" spans="1:42"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58">
        <f t="shared" ref="AD147:AD210" si="25">SUM(AE147:AP147)</f>
        <v>0</v>
      </c>
      <c r="AE147" s="459" t="str">
        <f>IFERROR(INDEX(V!$R:$R,MATCH(AF147,V!$L:$L,0)),"")</f>
        <v/>
      </c>
      <c r="AF147" s="460" t="str">
        <f t="shared" si="19"/>
        <v/>
      </c>
      <c r="AG147" s="459" t="str">
        <f>IFERROR(INDEX(V!$R:$R,MATCH(AH147,V!$L:$L,0)),"")</f>
        <v/>
      </c>
      <c r="AH147" s="460" t="str">
        <f t="shared" si="20"/>
        <v/>
      </c>
      <c r="AI147" s="459" t="str">
        <f>IFERROR(INDEX(V!$R:$R,MATCH(AJ147,V!$L:$L,0)),"")</f>
        <v/>
      </c>
      <c r="AJ147" s="460" t="str">
        <f t="shared" si="21"/>
        <v/>
      </c>
      <c r="AK147" s="459" t="str">
        <f>IFERROR(INDEX(V!$R:$R,MATCH(AL147,V!$L:$L,0)),"")</f>
        <v/>
      </c>
      <c r="AL147" s="460" t="str">
        <f t="shared" si="22"/>
        <v/>
      </c>
      <c r="AM147" s="459" t="str">
        <f>IFERROR(INDEX(V!$R:$R,MATCH(AN147,V!$L:$L,0)),"")</f>
        <v/>
      </c>
      <c r="AN147" s="460" t="str">
        <f t="shared" si="23"/>
        <v/>
      </c>
      <c r="AO147" s="459" t="str">
        <f>IFERROR(INDEX(V!$R:$R,MATCH(AP147,V!$L:$L,0)),"")</f>
        <v/>
      </c>
      <c r="AP147" s="460" t="str">
        <f t="shared" si="24"/>
        <v/>
      </c>
    </row>
    <row r="148" spans="1:42"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58">
        <f t="shared" si="25"/>
        <v>0</v>
      </c>
      <c r="AE148" s="459" t="str">
        <f>IFERROR(INDEX(V!$R:$R,MATCH(AF148,V!$L:$L,0)),"")</f>
        <v/>
      </c>
      <c r="AF148" s="460" t="str">
        <f t="shared" si="19"/>
        <v/>
      </c>
      <c r="AG148" s="459" t="str">
        <f>IFERROR(INDEX(V!$R:$R,MATCH(AH148,V!$L:$L,0)),"")</f>
        <v/>
      </c>
      <c r="AH148" s="460" t="str">
        <f t="shared" si="20"/>
        <v/>
      </c>
      <c r="AI148" s="459" t="str">
        <f>IFERROR(INDEX(V!$R:$R,MATCH(AJ148,V!$L:$L,0)),"")</f>
        <v/>
      </c>
      <c r="AJ148" s="460" t="str">
        <f t="shared" si="21"/>
        <v/>
      </c>
      <c r="AK148" s="459" t="str">
        <f>IFERROR(INDEX(V!$R:$R,MATCH(AL148,V!$L:$L,0)),"")</f>
        <v/>
      </c>
      <c r="AL148" s="460" t="str">
        <f t="shared" si="22"/>
        <v/>
      </c>
      <c r="AM148" s="459" t="str">
        <f>IFERROR(INDEX(V!$R:$R,MATCH(AN148,V!$L:$L,0)),"")</f>
        <v/>
      </c>
      <c r="AN148" s="460" t="str">
        <f t="shared" si="23"/>
        <v/>
      </c>
      <c r="AO148" s="459" t="str">
        <f>IFERROR(INDEX(V!$R:$R,MATCH(AP148,V!$L:$L,0)),"")</f>
        <v/>
      </c>
      <c r="AP148" s="460" t="str">
        <f t="shared" si="24"/>
        <v/>
      </c>
    </row>
    <row r="149" spans="1:42"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58">
        <f t="shared" si="25"/>
        <v>0</v>
      </c>
      <c r="AE149" s="459" t="str">
        <f>IFERROR(INDEX(V!$R:$R,MATCH(AF149,V!$L:$L,0)),"")</f>
        <v/>
      </c>
      <c r="AF149" s="460" t="str">
        <f t="shared" si="19"/>
        <v/>
      </c>
      <c r="AG149" s="459" t="str">
        <f>IFERROR(INDEX(V!$R:$R,MATCH(AH149,V!$L:$L,0)),"")</f>
        <v/>
      </c>
      <c r="AH149" s="460" t="str">
        <f t="shared" si="20"/>
        <v/>
      </c>
      <c r="AI149" s="459" t="str">
        <f>IFERROR(INDEX(V!$R:$R,MATCH(AJ149,V!$L:$L,0)),"")</f>
        <v/>
      </c>
      <c r="AJ149" s="460" t="str">
        <f t="shared" si="21"/>
        <v/>
      </c>
      <c r="AK149" s="459" t="str">
        <f>IFERROR(INDEX(V!$R:$R,MATCH(AL149,V!$L:$L,0)),"")</f>
        <v/>
      </c>
      <c r="AL149" s="460" t="str">
        <f t="shared" si="22"/>
        <v/>
      </c>
      <c r="AM149" s="459" t="str">
        <f>IFERROR(INDEX(V!$R:$R,MATCH(AN149,V!$L:$L,0)),"")</f>
        <v/>
      </c>
      <c r="AN149" s="460" t="str">
        <f t="shared" si="23"/>
        <v/>
      </c>
      <c r="AO149" s="459" t="str">
        <f>IFERROR(INDEX(V!$R:$R,MATCH(AP149,V!$L:$L,0)),"")</f>
        <v/>
      </c>
      <c r="AP149" s="460" t="str">
        <f t="shared" si="24"/>
        <v/>
      </c>
    </row>
    <row r="150" spans="1:42"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58">
        <f t="shared" si="25"/>
        <v>0</v>
      </c>
      <c r="AE150" s="459" t="str">
        <f>IFERROR(INDEX(V!$R:$R,MATCH(AF150,V!$L:$L,0)),"")</f>
        <v/>
      </c>
      <c r="AF150" s="460" t="str">
        <f t="shared" si="19"/>
        <v/>
      </c>
      <c r="AG150" s="459" t="str">
        <f>IFERROR(INDEX(V!$R:$R,MATCH(AH150,V!$L:$L,0)),"")</f>
        <v/>
      </c>
      <c r="AH150" s="460" t="str">
        <f t="shared" si="20"/>
        <v/>
      </c>
      <c r="AI150" s="459" t="str">
        <f>IFERROR(INDEX(V!$R:$R,MATCH(AJ150,V!$L:$L,0)),"")</f>
        <v/>
      </c>
      <c r="AJ150" s="460" t="str">
        <f t="shared" si="21"/>
        <v/>
      </c>
      <c r="AK150" s="459" t="str">
        <f>IFERROR(INDEX(V!$R:$R,MATCH(AL150,V!$L:$L,0)),"")</f>
        <v/>
      </c>
      <c r="AL150" s="460" t="str">
        <f t="shared" si="22"/>
        <v/>
      </c>
      <c r="AM150" s="459" t="str">
        <f>IFERROR(INDEX(V!$R:$R,MATCH(AN150,V!$L:$L,0)),"")</f>
        <v/>
      </c>
      <c r="AN150" s="460" t="str">
        <f t="shared" si="23"/>
        <v/>
      </c>
      <c r="AO150" s="459" t="str">
        <f>IFERROR(INDEX(V!$R:$R,MATCH(AP150,V!$L:$L,0)),"")</f>
        <v/>
      </c>
      <c r="AP150" s="460" t="str">
        <f t="shared" si="24"/>
        <v/>
      </c>
    </row>
    <row r="151" spans="1:42" hidden="1"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58">
        <f t="shared" si="25"/>
        <v>0</v>
      </c>
      <c r="AE151" s="459" t="str">
        <f>IFERROR(INDEX(V!$R:$R,MATCH(AF151,V!$L:$L,0)),"")</f>
        <v/>
      </c>
      <c r="AF151" s="460" t="str">
        <f t="shared" si="19"/>
        <v/>
      </c>
      <c r="AG151" s="459" t="str">
        <f>IFERROR(INDEX(V!$R:$R,MATCH(AH151,V!$L:$L,0)),"")</f>
        <v/>
      </c>
      <c r="AH151" s="460" t="str">
        <f t="shared" si="20"/>
        <v/>
      </c>
      <c r="AI151" s="459" t="str">
        <f>IFERROR(INDEX(V!$R:$R,MATCH(AJ151,V!$L:$L,0)),"")</f>
        <v/>
      </c>
      <c r="AJ151" s="460" t="str">
        <f t="shared" si="21"/>
        <v/>
      </c>
      <c r="AK151" s="459" t="str">
        <f>IFERROR(INDEX(V!$R:$R,MATCH(AL151,V!$L:$L,0)),"")</f>
        <v/>
      </c>
      <c r="AL151" s="460" t="str">
        <f t="shared" si="22"/>
        <v/>
      </c>
      <c r="AM151" s="459" t="str">
        <f>IFERROR(INDEX(V!$R:$R,MATCH(AN151,V!$L:$L,0)),"")</f>
        <v/>
      </c>
      <c r="AN151" s="460" t="str">
        <f t="shared" si="23"/>
        <v/>
      </c>
      <c r="AO151" s="459" t="str">
        <f>IFERROR(INDEX(V!$R:$R,MATCH(AP151,V!$L:$L,0)),"")</f>
        <v/>
      </c>
      <c r="AP151" s="460" t="str">
        <f t="shared" si="24"/>
        <v/>
      </c>
    </row>
    <row r="152" spans="1:42" hidden="1"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58">
        <f t="shared" si="25"/>
        <v>0</v>
      </c>
      <c r="AE152" s="459" t="str">
        <f>IFERROR(INDEX(V!$R:$R,MATCH(AF152,V!$L:$L,0)),"")</f>
        <v/>
      </c>
      <c r="AF152" s="460" t="str">
        <f t="shared" si="19"/>
        <v/>
      </c>
      <c r="AG152" s="459" t="str">
        <f>IFERROR(INDEX(V!$R:$R,MATCH(AH152,V!$L:$L,0)),"")</f>
        <v/>
      </c>
      <c r="AH152" s="460" t="str">
        <f t="shared" si="20"/>
        <v/>
      </c>
      <c r="AI152" s="459" t="str">
        <f>IFERROR(INDEX(V!$R:$R,MATCH(AJ152,V!$L:$L,0)),"")</f>
        <v/>
      </c>
      <c r="AJ152" s="460" t="str">
        <f t="shared" si="21"/>
        <v/>
      </c>
      <c r="AK152" s="459" t="str">
        <f>IFERROR(INDEX(V!$R:$R,MATCH(AL152,V!$L:$L,0)),"")</f>
        <v/>
      </c>
      <c r="AL152" s="460" t="str">
        <f t="shared" si="22"/>
        <v/>
      </c>
      <c r="AM152" s="459" t="str">
        <f>IFERROR(INDEX(V!$R:$R,MATCH(AN152,V!$L:$L,0)),"")</f>
        <v/>
      </c>
      <c r="AN152" s="460" t="str">
        <f t="shared" si="23"/>
        <v/>
      </c>
      <c r="AO152" s="459" t="str">
        <f>IFERROR(INDEX(V!$R:$R,MATCH(AP152,V!$L:$L,0)),"")</f>
        <v/>
      </c>
      <c r="AP152" s="460" t="str">
        <f t="shared" si="24"/>
        <v/>
      </c>
    </row>
    <row r="153" spans="1:42"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58">
        <f t="shared" si="25"/>
        <v>0</v>
      </c>
      <c r="AE153" s="459" t="str">
        <f>IFERROR(INDEX(V!$R:$R,MATCH(AF153,V!$L:$L,0)),"")</f>
        <v/>
      </c>
      <c r="AF153" s="460" t="str">
        <f t="shared" si="19"/>
        <v/>
      </c>
      <c r="AG153" s="459" t="str">
        <f>IFERROR(INDEX(V!$R:$R,MATCH(AH153,V!$L:$L,0)),"")</f>
        <v/>
      </c>
      <c r="AH153" s="460" t="str">
        <f t="shared" si="20"/>
        <v/>
      </c>
      <c r="AI153" s="459" t="str">
        <f>IFERROR(INDEX(V!$R:$R,MATCH(AJ153,V!$L:$L,0)),"")</f>
        <v/>
      </c>
      <c r="AJ153" s="460" t="str">
        <f t="shared" si="21"/>
        <v/>
      </c>
      <c r="AK153" s="459" t="str">
        <f>IFERROR(INDEX(V!$R:$R,MATCH(AL153,V!$L:$L,0)),"")</f>
        <v/>
      </c>
      <c r="AL153" s="460" t="str">
        <f t="shared" si="22"/>
        <v/>
      </c>
      <c r="AM153" s="459" t="str">
        <f>IFERROR(INDEX(V!$R:$R,MATCH(AN153,V!$L:$L,0)),"")</f>
        <v/>
      </c>
      <c r="AN153" s="460" t="str">
        <f t="shared" si="23"/>
        <v/>
      </c>
      <c r="AO153" s="459" t="str">
        <f>IFERROR(INDEX(V!$R:$R,MATCH(AP153,V!$L:$L,0)),"")</f>
        <v/>
      </c>
      <c r="AP153" s="460" t="str">
        <f t="shared" si="24"/>
        <v/>
      </c>
    </row>
    <row r="154" spans="1:42"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58">
        <f t="shared" si="25"/>
        <v>0</v>
      </c>
      <c r="AE154" s="459" t="str">
        <f>IFERROR(INDEX(V!$R:$R,MATCH(AF154,V!$L:$L,0)),"")</f>
        <v/>
      </c>
      <c r="AF154" s="460" t="str">
        <f t="shared" si="19"/>
        <v/>
      </c>
      <c r="AG154" s="459" t="str">
        <f>IFERROR(INDEX(V!$R:$R,MATCH(AH154,V!$L:$L,0)),"")</f>
        <v/>
      </c>
      <c r="AH154" s="460" t="str">
        <f t="shared" si="20"/>
        <v/>
      </c>
      <c r="AI154" s="459" t="str">
        <f>IFERROR(INDEX(V!$R:$R,MATCH(AJ154,V!$L:$L,0)),"")</f>
        <v/>
      </c>
      <c r="AJ154" s="460" t="str">
        <f t="shared" si="21"/>
        <v/>
      </c>
      <c r="AK154" s="459" t="str">
        <f>IFERROR(INDEX(V!$R:$R,MATCH(AL154,V!$L:$L,0)),"")</f>
        <v/>
      </c>
      <c r="AL154" s="460" t="str">
        <f t="shared" si="22"/>
        <v/>
      </c>
      <c r="AM154" s="459" t="str">
        <f>IFERROR(INDEX(V!$R:$R,MATCH(AN154,V!$L:$L,0)),"")</f>
        <v/>
      </c>
      <c r="AN154" s="460" t="str">
        <f t="shared" si="23"/>
        <v/>
      </c>
      <c r="AO154" s="459" t="str">
        <f>IFERROR(INDEX(V!$R:$R,MATCH(AP154,V!$L:$L,0)),"")</f>
        <v/>
      </c>
      <c r="AP154" s="460" t="str">
        <f t="shared" si="24"/>
        <v/>
      </c>
    </row>
    <row r="155" spans="1:42"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58">
        <f t="shared" si="25"/>
        <v>0</v>
      </c>
      <c r="AE155" s="459" t="str">
        <f>IFERROR(INDEX(V!$R:$R,MATCH(AF155,V!$L:$L,0)),"")</f>
        <v/>
      </c>
      <c r="AF155" s="460" t="str">
        <f t="shared" si="19"/>
        <v/>
      </c>
      <c r="AG155" s="459" t="str">
        <f>IFERROR(INDEX(V!$R:$R,MATCH(AH155,V!$L:$L,0)),"")</f>
        <v/>
      </c>
      <c r="AH155" s="460" t="str">
        <f t="shared" si="20"/>
        <v/>
      </c>
      <c r="AI155" s="459" t="str">
        <f>IFERROR(INDEX(V!$R:$R,MATCH(AJ155,V!$L:$L,0)),"")</f>
        <v/>
      </c>
      <c r="AJ155" s="460" t="str">
        <f t="shared" si="21"/>
        <v/>
      </c>
      <c r="AK155" s="459" t="str">
        <f>IFERROR(INDEX(V!$R:$R,MATCH(AL155,V!$L:$L,0)),"")</f>
        <v/>
      </c>
      <c r="AL155" s="460" t="str">
        <f t="shared" si="22"/>
        <v/>
      </c>
      <c r="AM155" s="459" t="str">
        <f>IFERROR(INDEX(V!$R:$R,MATCH(AN155,V!$L:$L,0)),"")</f>
        <v/>
      </c>
      <c r="AN155" s="460" t="str">
        <f t="shared" si="23"/>
        <v/>
      </c>
      <c r="AO155" s="459" t="str">
        <f>IFERROR(INDEX(V!$R:$R,MATCH(AP155,V!$L:$L,0)),"")</f>
        <v/>
      </c>
      <c r="AP155" s="460" t="str">
        <f t="shared" si="24"/>
        <v/>
      </c>
    </row>
    <row r="156" spans="1:42"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58">
        <f t="shared" si="25"/>
        <v>0</v>
      </c>
      <c r="AE156" s="459" t="str">
        <f>IFERROR(INDEX(V!$R:$R,MATCH(AF156,V!$L:$L,0)),"")</f>
        <v/>
      </c>
      <c r="AF156" s="460" t="str">
        <f t="shared" si="19"/>
        <v/>
      </c>
      <c r="AG156" s="459" t="str">
        <f>IFERROR(INDEX(V!$R:$R,MATCH(AH156,V!$L:$L,0)),"")</f>
        <v/>
      </c>
      <c r="AH156" s="460" t="str">
        <f t="shared" si="20"/>
        <v/>
      </c>
      <c r="AI156" s="459" t="str">
        <f>IFERROR(INDEX(V!$R:$R,MATCH(AJ156,V!$L:$L,0)),"")</f>
        <v/>
      </c>
      <c r="AJ156" s="460" t="str">
        <f t="shared" si="21"/>
        <v/>
      </c>
      <c r="AK156" s="459" t="str">
        <f>IFERROR(INDEX(V!$R:$R,MATCH(AL156,V!$L:$L,0)),"")</f>
        <v/>
      </c>
      <c r="AL156" s="460" t="str">
        <f t="shared" si="22"/>
        <v/>
      </c>
      <c r="AM156" s="459" t="str">
        <f>IFERROR(INDEX(V!$R:$R,MATCH(AN156,V!$L:$L,0)),"")</f>
        <v/>
      </c>
      <c r="AN156" s="460" t="str">
        <f t="shared" si="23"/>
        <v/>
      </c>
      <c r="AO156" s="459" t="str">
        <f>IFERROR(INDEX(V!$R:$R,MATCH(AP156,V!$L:$L,0)),"")</f>
        <v/>
      </c>
      <c r="AP156" s="460" t="str">
        <f t="shared" si="24"/>
        <v/>
      </c>
    </row>
    <row r="157" spans="1:42"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58">
        <f t="shared" si="25"/>
        <v>0</v>
      </c>
      <c r="AE157" s="459" t="str">
        <f>IFERROR(INDEX(V!$R:$R,MATCH(AF157,V!$L:$L,0)),"")</f>
        <v/>
      </c>
      <c r="AF157" s="460" t="str">
        <f t="shared" si="19"/>
        <v/>
      </c>
      <c r="AG157" s="459" t="str">
        <f>IFERROR(INDEX(V!$R:$R,MATCH(AH157,V!$L:$L,0)),"")</f>
        <v/>
      </c>
      <c r="AH157" s="460" t="str">
        <f t="shared" si="20"/>
        <v/>
      </c>
      <c r="AI157" s="459" t="str">
        <f>IFERROR(INDEX(V!$R:$R,MATCH(AJ157,V!$L:$L,0)),"")</f>
        <v/>
      </c>
      <c r="AJ157" s="460" t="str">
        <f t="shared" si="21"/>
        <v/>
      </c>
      <c r="AK157" s="459" t="str">
        <f>IFERROR(INDEX(V!$R:$R,MATCH(AL157,V!$L:$L,0)),"")</f>
        <v/>
      </c>
      <c r="AL157" s="460" t="str">
        <f t="shared" si="22"/>
        <v/>
      </c>
      <c r="AM157" s="459" t="str">
        <f>IFERROR(INDEX(V!$R:$R,MATCH(AN157,V!$L:$L,0)),"")</f>
        <v/>
      </c>
      <c r="AN157" s="460" t="str">
        <f t="shared" si="23"/>
        <v/>
      </c>
      <c r="AO157" s="459" t="str">
        <f>IFERROR(INDEX(V!$R:$R,MATCH(AP157,V!$L:$L,0)),"")</f>
        <v/>
      </c>
      <c r="AP157" s="460" t="str">
        <f t="shared" si="24"/>
        <v/>
      </c>
    </row>
    <row r="158" spans="1:42"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58">
        <f t="shared" si="25"/>
        <v>0</v>
      </c>
      <c r="AE158" s="459" t="str">
        <f>IFERROR(INDEX(V!$R:$R,MATCH(AF158,V!$L:$L,0)),"")</f>
        <v/>
      </c>
      <c r="AF158" s="460" t="str">
        <f t="shared" si="19"/>
        <v/>
      </c>
      <c r="AG158" s="459" t="str">
        <f>IFERROR(INDEX(V!$R:$R,MATCH(AH158,V!$L:$L,0)),"")</f>
        <v/>
      </c>
      <c r="AH158" s="460" t="str">
        <f t="shared" si="20"/>
        <v/>
      </c>
      <c r="AI158" s="459" t="str">
        <f>IFERROR(INDEX(V!$R:$R,MATCH(AJ158,V!$L:$L,0)),"")</f>
        <v/>
      </c>
      <c r="AJ158" s="460" t="str">
        <f t="shared" si="21"/>
        <v/>
      </c>
      <c r="AK158" s="459" t="str">
        <f>IFERROR(INDEX(V!$R:$R,MATCH(AL158,V!$L:$L,0)),"")</f>
        <v/>
      </c>
      <c r="AL158" s="460" t="str">
        <f t="shared" si="22"/>
        <v/>
      </c>
      <c r="AM158" s="459" t="str">
        <f>IFERROR(INDEX(V!$R:$R,MATCH(AN158,V!$L:$L,0)),"")</f>
        <v/>
      </c>
      <c r="AN158" s="460" t="str">
        <f t="shared" si="23"/>
        <v/>
      </c>
      <c r="AO158" s="459" t="str">
        <f>IFERROR(INDEX(V!$R:$R,MATCH(AP158,V!$L:$L,0)),"")</f>
        <v/>
      </c>
      <c r="AP158" s="460" t="str">
        <f t="shared" si="24"/>
        <v/>
      </c>
    </row>
    <row r="159" spans="1:42"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58">
        <f t="shared" si="25"/>
        <v>0</v>
      </c>
      <c r="AE159" s="459" t="str">
        <f>IFERROR(INDEX(V!$R:$R,MATCH(AF159,V!$L:$L,0)),"")</f>
        <v/>
      </c>
      <c r="AF159" s="460" t="str">
        <f t="shared" si="19"/>
        <v/>
      </c>
      <c r="AG159" s="459" t="str">
        <f>IFERROR(INDEX(V!$R:$R,MATCH(AH159,V!$L:$L,0)),"")</f>
        <v/>
      </c>
      <c r="AH159" s="460" t="str">
        <f t="shared" si="20"/>
        <v/>
      </c>
      <c r="AI159" s="459" t="str">
        <f>IFERROR(INDEX(V!$R:$R,MATCH(AJ159,V!$L:$L,0)),"")</f>
        <v/>
      </c>
      <c r="AJ159" s="460" t="str">
        <f t="shared" si="21"/>
        <v/>
      </c>
      <c r="AK159" s="459" t="str">
        <f>IFERROR(INDEX(V!$R:$R,MATCH(AL159,V!$L:$L,0)),"")</f>
        <v/>
      </c>
      <c r="AL159" s="460" t="str">
        <f t="shared" si="22"/>
        <v/>
      </c>
      <c r="AM159" s="459" t="str">
        <f>IFERROR(INDEX(V!$R:$R,MATCH(AN159,V!$L:$L,0)),"")</f>
        <v/>
      </c>
      <c r="AN159" s="460" t="str">
        <f t="shared" si="23"/>
        <v/>
      </c>
      <c r="AO159" s="459" t="str">
        <f>IFERROR(INDEX(V!$R:$R,MATCH(AP159,V!$L:$L,0)),"")</f>
        <v/>
      </c>
      <c r="AP159" s="460" t="str">
        <f t="shared" si="24"/>
        <v/>
      </c>
    </row>
    <row r="160" spans="1:42"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58">
        <f t="shared" si="25"/>
        <v>0</v>
      </c>
      <c r="AE160" s="459" t="str">
        <f>IFERROR(INDEX(V!$R:$R,MATCH(AF160,V!$L:$L,0)),"")</f>
        <v/>
      </c>
      <c r="AF160" s="460" t="str">
        <f t="shared" si="19"/>
        <v/>
      </c>
      <c r="AG160" s="459" t="str">
        <f>IFERROR(INDEX(V!$R:$R,MATCH(AH160,V!$L:$L,0)),"")</f>
        <v/>
      </c>
      <c r="AH160" s="460" t="str">
        <f t="shared" si="20"/>
        <v/>
      </c>
      <c r="AI160" s="459" t="str">
        <f>IFERROR(INDEX(V!$R:$R,MATCH(AJ160,V!$L:$L,0)),"")</f>
        <v/>
      </c>
      <c r="AJ160" s="460" t="str">
        <f t="shared" si="21"/>
        <v/>
      </c>
      <c r="AK160" s="459" t="str">
        <f>IFERROR(INDEX(V!$R:$R,MATCH(AL160,V!$L:$L,0)),"")</f>
        <v/>
      </c>
      <c r="AL160" s="460" t="str">
        <f t="shared" si="22"/>
        <v/>
      </c>
      <c r="AM160" s="459" t="str">
        <f>IFERROR(INDEX(V!$R:$R,MATCH(AN160,V!$L:$L,0)),"")</f>
        <v/>
      </c>
      <c r="AN160" s="460" t="str">
        <f t="shared" si="23"/>
        <v/>
      </c>
      <c r="AO160" s="459" t="str">
        <f>IFERROR(INDEX(V!$R:$R,MATCH(AP160,V!$L:$L,0)),"")</f>
        <v/>
      </c>
      <c r="AP160" s="460" t="str">
        <f t="shared" si="24"/>
        <v/>
      </c>
    </row>
    <row r="161" spans="1:42"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58">
        <f t="shared" si="25"/>
        <v>0</v>
      </c>
      <c r="AE161" s="459" t="str">
        <f>IFERROR(INDEX(V!$R:$R,MATCH(AF161,V!$L:$L,0)),"")</f>
        <v/>
      </c>
      <c r="AF161" s="460" t="str">
        <f t="shared" si="19"/>
        <v/>
      </c>
      <c r="AG161" s="459" t="str">
        <f>IFERROR(INDEX(V!$R:$R,MATCH(AH161,V!$L:$L,0)),"")</f>
        <v/>
      </c>
      <c r="AH161" s="460" t="str">
        <f t="shared" si="20"/>
        <v/>
      </c>
      <c r="AI161" s="459" t="str">
        <f>IFERROR(INDEX(V!$R:$R,MATCH(AJ161,V!$L:$L,0)),"")</f>
        <v/>
      </c>
      <c r="AJ161" s="460" t="str">
        <f t="shared" si="21"/>
        <v/>
      </c>
      <c r="AK161" s="459" t="str">
        <f>IFERROR(INDEX(V!$R:$R,MATCH(AL161,V!$L:$L,0)),"")</f>
        <v/>
      </c>
      <c r="AL161" s="460" t="str">
        <f t="shared" si="22"/>
        <v/>
      </c>
      <c r="AM161" s="459" t="str">
        <f>IFERROR(INDEX(V!$R:$R,MATCH(AN161,V!$L:$L,0)),"")</f>
        <v/>
      </c>
      <c r="AN161" s="460" t="str">
        <f t="shared" si="23"/>
        <v/>
      </c>
      <c r="AO161" s="459" t="str">
        <f>IFERROR(INDEX(V!$R:$R,MATCH(AP161,V!$L:$L,0)),"")</f>
        <v/>
      </c>
      <c r="AP161" s="460" t="str">
        <f t="shared" si="24"/>
        <v/>
      </c>
    </row>
    <row r="162" spans="1:42"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58">
        <f t="shared" si="25"/>
        <v>0</v>
      </c>
      <c r="AE162" s="459" t="str">
        <f>IFERROR(INDEX(V!$R:$R,MATCH(AF162,V!$L:$L,0)),"")</f>
        <v/>
      </c>
      <c r="AF162" s="460" t="str">
        <f t="shared" si="19"/>
        <v/>
      </c>
      <c r="AG162" s="459" t="str">
        <f>IFERROR(INDEX(V!$R:$R,MATCH(AH162,V!$L:$L,0)),"")</f>
        <v/>
      </c>
      <c r="AH162" s="460" t="str">
        <f t="shared" si="20"/>
        <v/>
      </c>
      <c r="AI162" s="459" t="str">
        <f>IFERROR(INDEX(V!$R:$R,MATCH(AJ162,V!$L:$L,0)),"")</f>
        <v/>
      </c>
      <c r="AJ162" s="460" t="str">
        <f t="shared" si="21"/>
        <v/>
      </c>
      <c r="AK162" s="459" t="str">
        <f>IFERROR(INDEX(V!$R:$R,MATCH(AL162,V!$L:$L,0)),"")</f>
        <v/>
      </c>
      <c r="AL162" s="460" t="str">
        <f t="shared" si="22"/>
        <v/>
      </c>
      <c r="AM162" s="459" t="str">
        <f>IFERROR(INDEX(V!$R:$R,MATCH(AN162,V!$L:$L,0)),"")</f>
        <v/>
      </c>
      <c r="AN162" s="460" t="str">
        <f t="shared" si="23"/>
        <v/>
      </c>
      <c r="AO162" s="459" t="str">
        <f>IFERROR(INDEX(V!$R:$R,MATCH(AP162,V!$L:$L,0)),"")</f>
        <v/>
      </c>
      <c r="AP162" s="460" t="str">
        <f t="shared" si="24"/>
        <v/>
      </c>
    </row>
    <row r="163" spans="1:42"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58">
        <f t="shared" si="25"/>
        <v>0</v>
      </c>
      <c r="AE163" s="459" t="str">
        <f>IFERROR(INDEX(V!$R:$R,MATCH(AF163,V!$L:$L,0)),"")</f>
        <v/>
      </c>
      <c r="AF163" s="460" t="str">
        <f t="shared" si="19"/>
        <v/>
      </c>
      <c r="AG163" s="459" t="str">
        <f>IFERROR(INDEX(V!$R:$R,MATCH(AH163,V!$L:$L,0)),"")</f>
        <v/>
      </c>
      <c r="AH163" s="460" t="str">
        <f t="shared" si="20"/>
        <v/>
      </c>
      <c r="AI163" s="459" t="str">
        <f>IFERROR(INDEX(V!$R:$R,MATCH(AJ163,V!$L:$L,0)),"")</f>
        <v/>
      </c>
      <c r="AJ163" s="460" t="str">
        <f t="shared" si="21"/>
        <v/>
      </c>
      <c r="AK163" s="459" t="str">
        <f>IFERROR(INDEX(V!$R:$R,MATCH(AL163,V!$L:$L,0)),"")</f>
        <v/>
      </c>
      <c r="AL163" s="460" t="str">
        <f t="shared" si="22"/>
        <v/>
      </c>
      <c r="AM163" s="459" t="str">
        <f>IFERROR(INDEX(V!$R:$R,MATCH(AN163,V!$L:$L,0)),"")</f>
        <v/>
      </c>
      <c r="AN163" s="460" t="str">
        <f t="shared" si="23"/>
        <v/>
      </c>
      <c r="AO163" s="459" t="str">
        <f>IFERROR(INDEX(V!$R:$R,MATCH(AP163,V!$L:$L,0)),"")</f>
        <v/>
      </c>
      <c r="AP163" s="460" t="str">
        <f t="shared" si="24"/>
        <v/>
      </c>
    </row>
    <row r="164" spans="1:42" hidden="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58">
        <f t="shared" si="25"/>
        <v>0</v>
      </c>
      <c r="AE164" s="459" t="str">
        <f>IFERROR(INDEX(V!$R:$R,MATCH(AF164,V!$L:$L,0)),"")</f>
        <v/>
      </c>
      <c r="AF164" s="460" t="str">
        <f t="shared" si="19"/>
        <v/>
      </c>
      <c r="AG164" s="459" t="str">
        <f>IFERROR(INDEX(V!$R:$R,MATCH(AH164,V!$L:$L,0)),"")</f>
        <v/>
      </c>
      <c r="AH164" s="460" t="str">
        <f t="shared" si="20"/>
        <v/>
      </c>
      <c r="AI164" s="459" t="str">
        <f>IFERROR(INDEX(V!$R:$R,MATCH(AJ164,V!$L:$L,0)),"")</f>
        <v/>
      </c>
      <c r="AJ164" s="460" t="str">
        <f t="shared" si="21"/>
        <v/>
      </c>
      <c r="AK164" s="459" t="str">
        <f>IFERROR(INDEX(V!$R:$R,MATCH(AL164,V!$L:$L,0)),"")</f>
        <v/>
      </c>
      <c r="AL164" s="460" t="str">
        <f t="shared" si="22"/>
        <v/>
      </c>
      <c r="AM164" s="459" t="str">
        <f>IFERROR(INDEX(V!$R:$R,MATCH(AN164,V!$L:$L,0)),"")</f>
        <v/>
      </c>
      <c r="AN164" s="460" t="str">
        <f t="shared" si="23"/>
        <v/>
      </c>
      <c r="AO164" s="459" t="str">
        <f>IFERROR(INDEX(V!$R:$R,MATCH(AP164,V!$L:$L,0)),"")</f>
        <v/>
      </c>
      <c r="AP164" s="460" t="str">
        <f t="shared" si="24"/>
        <v/>
      </c>
    </row>
    <row r="165" spans="1:42" hidden="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58">
        <f t="shared" si="25"/>
        <v>0</v>
      </c>
      <c r="AE165" s="459" t="str">
        <f>IFERROR(INDEX(V!$R:$R,MATCH(AF165,V!$L:$L,0)),"")</f>
        <v/>
      </c>
      <c r="AF165" s="460" t="str">
        <f t="shared" si="19"/>
        <v/>
      </c>
      <c r="AG165" s="459" t="str">
        <f>IFERROR(INDEX(V!$R:$R,MATCH(AH165,V!$L:$L,0)),"")</f>
        <v/>
      </c>
      <c r="AH165" s="460" t="str">
        <f t="shared" si="20"/>
        <v/>
      </c>
      <c r="AI165" s="459" t="str">
        <f>IFERROR(INDEX(V!$R:$R,MATCH(AJ165,V!$L:$L,0)),"")</f>
        <v/>
      </c>
      <c r="AJ165" s="460" t="str">
        <f t="shared" si="21"/>
        <v/>
      </c>
      <c r="AK165" s="459" t="str">
        <f>IFERROR(INDEX(V!$R:$R,MATCH(AL165,V!$L:$L,0)),"")</f>
        <v/>
      </c>
      <c r="AL165" s="460" t="str">
        <f t="shared" si="22"/>
        <v/>
      </c>
      <c r="AM165" s="459" t="str">
        <f>IFERROR(INDEX(V!$R:$R,MATCH(AN165,V!$L:$L,0)),"")</f>
        <v/>
      </c>
      <c r="AN165" s="460" t="str">
        <f t="shared" si="23"/>
        <v/>
      </c>
      <c r="AO165" s="459" t="str">
        <f>IFERROR(INDEX(V!$R:$R,MATCH(AP165,V!$L:$L,0)),"")</f>
        <v/>
      </c>
      <c r="AP165" s="460" t="str">
        <f t="shared" si="24"/>
        <v/>
      </c>
    </row>
    <row r="166" spans="1:42"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58">
        <f t="shared" si="25"/>
        <v>0</v>
      </c>
      <c r="AE166" s="459" t="str">
        <f>IFERROR(INDEX(V!$R:$R,MATCH(AF166,V!$L:$L,0)),"")</f>
        <v/>
      </c>
      <c r="AF166" s="460" t="str">
        <f t="shared" si="19"/>
        <v/>
      </c>
      <c r="AG166" s="459" t="str">
        <f>IFERROR(INDEX(V!$R:$R,MATCH(AH166,V!$L:$L,0)),"")</f>
        <v/>
      </c>
      <c r="AH166" s="460" t="str">
        <f t="shared" si="20"/>
        <v/>
      </c>
      <c r="AI166" s="459" t="str">
        <f>IFERROR(INDEX(V!$R:$R,MATCH(AJ166,V!$L:$L,0)),"")</f>
        <v/>
      </c>
      <c r="AJ166" s="460" t="str">
        <f t="shared" si="21"/>
        <v/>
      </c>
      <c r="AK166" s="459" t="str">
        <f>IFERROR(INDEX(V!$R:$R,MATCH(AL166,V!$L:$L,0)),"")</f>
        <v/>
      </c>
      <c r="AL166" s="460" t="str">
        <f t="shared" si="22"/>
        <v/>
      </c>
      <c r="AM166" s="459" t="str">
        <f>IFERROR(INDEX(V!$R:$R,MATCH(AN166,V!$L:$L,0)),"")</f>
        <v/>
      </c>
      <c r="AN166" s="460" t="str">
        <f t="shared" si="23"/>
        <v/>
      </c>
      <c r="AO166" s="459" t="str">
        <f>IFERROR(INDEX(V!$R:$R,MATCH(AP166,V!$L:$L,0)),"")</f>
        <v/>
      </c>
      <c r="AP166" s="460" t="str">
        <f t="shared" si="24"/>
        <v/>
      </c>
    </row>
    <row r="167" spans="1:42"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58">
        <f t="shared" si="25"/>
        <v>0</v>
      </c>
      <c r="AE167" s="459" t="str">
        <f>IFERROR(INDEX(V!$R:$R,MATCH(AF167,V!$L:$L,0)),"")</f>
        <v/>
      </c>
      <c r="AF167" s="460" t="str">
        <f t="shared" si="19"/>
        <v/>
      </c>
      <c r="AG167" s="459" t="str">
        <f>IFERROR(INDEX(V!$R:$R,MATCH(AH167,V!$L:$L,0)),"")</f>
        <v/>
      </c>
      <c r="AH167" s="460" t="str">
        <f t="shared" si="20"/>
        <v/>
      </c>
      <c r="AI167" s="459" t="str">
        <f>IFERROR(INDEX(V!$R:$R,MATCH(AJ167,V!$L:$L,0)),"")</f>
        <v/>
      </c>
      <c r="AJ167" s="460" t="str">
        <f t="shared" si="21"/>
        <v/>
      </c>
      <c r="AK167" s="459" t="str">
        <f>IFERROR(INDEX(V!$R:$R,MATCH(AL167,V!$L:$L,0)),"")</f>
        <v/>
      </c>
      <c r="AL167" s="460" t="str">
        <f t="shared" si="22"/>
        <v/>
      </c>
      <c r="AM167" s="459" t="str">
        <f>IFERROR(INDEX(V!$R:$R,MATCH(AN167,V!$L:$L,0)),"")</f>
        <v/>
      </c>
      <c r="AN167" s="460" t="str">
        <f t="shared" si="23"/>
        <v/>
      </c>
      <c r="AO167" s="459" t="str">
        <f>IFERROR(INDEX(V!$R:$R,MATCH(AP167,V!$L:$L,0)),"")</f>
        <v/>
      </c>
      <c r="AP167" s="460" t="str">
        <f t="shared" si="24"/>
        <v/>
      </c>
    </row>
    <row r="168" spans="1:42"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58">
        <f t="shared" si="25"/>
        <v>0</v>
      </c>
      <c r="AE168" s="459" t="str">
        <f>IFERROR(INDEX(V!$R:$R,MATCH(AF168,V!$L:$L,0)),"")</f>
        <v/>
      </c>
      <c r="AF168" s="460" t="str">
        <f t="shared" si="19"/>
        <v/>
      </c>
      <c r="AG168" s="459" t="str">
        <f>IFERROR(INDEX(V!$R:$R,MATCH(AH168,V!$L:$L,0)),"")</f>
        <v/>
      </c>
      <c r="AH168" s="460" t="str">
        <f t="shared" si="20"/>
        <v/>
      </c>
      <c r="AI168" s="459" t="str">
        <f>IFERROR(INDEX(V!$R:$R,MATCH(AJ168,V!$L:$L,0)),"")</f>
        <v/>
      </c>
      <c r="AJ168" s="460" t="str">
        <f t="shared" si="21"/>
        <v/>
      </c>
      <c r="AK168" s="459" t="str">
        <f>IFERROR(INDEX(V!$R:$R,MATCH(AL168,V!$L:$L,0)),"")</f>
        <v/>
      </c>
      <c r="AL168" s="460" t="str">
        <f t="shared" si="22"/>
        <v/>
      </c>
      <c r="AM168" s="459" t="str">
        <f>IFERROR(INDEX(V!$R:$R,MATCH(AN168,V!$L:$L,0)),"")</f>
        <v/>
      </c>
      <c r="AN168" s="460" t="str">
        <f t="shared" si="23"/>
        <v/>
      </c>
      <c r="AO168" s="459" t="str">
        <f>IFERROR(INDEX(V!$R:$R,MATCH(AP168,V!$L:$L,0)),"")</f>
        <v/>
      </c>
      <c r="AP168" s="460" t="str">
        <f t="shared" si="24"/>
        <v/>
      </c>
    </row>
    <row r="169" spans="1:42"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58">
        <f t="shared" si="25"/>
        <v>0</v>
      </c>
      <c r="AE169" s="459" t="str">
        <f>IFERROR(INDEX(V!$R:$R,MATCH(AF169,V!$L:$L,0)),"")</f>
        <v/>
      </c>
      <c r="AF169" s="460" t="str">
        <f t="shared" si="19"/>
        <v/>
      </c>
      <c r="AG169" s="459" t="str">
        <f>IFERROR(INDEX(V!$R:$R,MATCH(AH169,V!$L:$L,0)),"")</f>
        <v/>
      </c>
      <c r="AH169" s="460" t="str">
        <f t="shared" si="20"/>
        <v/>
      </c>
      <c r="AI169" s="459" t="str">
        <f>IFERROR(INDEX(V!$R:$R,MATCH(AJ169,V!$L:$L,0)),"")</f>
        <v/>
      </c>
      <c r="AJ169" s="460" t="str">
        <f t="shared" si="21"/>
        <v/>
      </c>
      <c r="AK169" s="459" t="str">
        <f>IFERROR(INDEX(V!$R:$R,MATCH(AL169,V!$L:$L,0)),"")</f>
        <v/>
      </c>
      <c r="AL169" s="460" t="str">
        <f t="shared" si="22"/>
        <v/>
      </c>
      <c r="AM169" s="459" t="str">
        <f>IFERROR(INDEX(V!$R:$R,MATCH(AN169,V!$L:$L,0)),"")</f>
        <v/>
      </c>
      <c r="AN169" s="460" t="str">
        <f t="shared" si="23"/>
        <v/>
      </c>
      <c r="AO169" s="459" t="str">
        <f>IFERROR(INDEX(V!$R:$R,MATCH(AP169,V!$L:$L,0)),"")</f>
        <v/>
      </c>
      <c r="AP169" s="460" t="str">
        <f t="shared" si="24"/>
        <v/>
      </c>
    </row>
    <row r="170" spans="1:42"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58">
        <f t="shared" si="25"/>
        <v>0</v>
      </c>
      <c r="AE170" s="459" t="str">
        <f>IFERROR(INDEX(V!$R:$R,MATCH(AF170,V!$L:$L,0)),"")</f>
        <v/>
      </c>
      <c r="AF170" s="460" t="str">
        <f t="shared" si="19"/>
        <v/>
      </c>
      <c r="AG170" s="459" t="str">
        <f>IFERROR(INDEX(V!$R:$R,MATCH(AH170,V!$L:$L,0)),"")</f>
        <v/>
      </c>
      <c r="AH170" s="460" t="str">
        <f t="shared" si="20"/>
        <v/>
      </c>
      <c r="AI170" s="459" t="str">
        <f>IFERROR(INDEX(V!$R:$R,MATCH(AJ170,V!$L:$L,0)),"")</f>
        <v/>
      </c>
      <c r="AJ170" s="460" t="str">
        <f t="shared" si="21"/>
        <v/>
      </c>
      <c r="AK170" s="459" t="str">
        <f>IFERROR(INDEX(V!$R:$R,MATCH(AL170,V!$L:$L,0)),"")</f>
        <v/>
      </c>
      <c r="AL170" s="460" t="str">
        <f t="shared" si="22"/>
        <v/>
      </c>
      <c r="AM170" s="459" t="str">
        <f>IFERROR(INDEX(V!$R:$R,MATCH(AN170,V!$L:$L,0)),"")</f>
        <v/>
      </c>
      <c r="AN170" s="460" t="str">
        <f t="shared" si="23"/>
        <v/>
      </c>
      <c r="AO170" s="459" t="str">
        <f>IFERROR(INDEX(V!$R:$R,MATCH(AP170,V!$L:$L,0)),"")</f>
        <v/>
      </c>
      <c r="AP170" s="460" t="str">
        <f t="shared" si="24"/>
        <v/>
      </c>
    </row>
    <row r="171" spans="1:42"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58">
        <f t="shared" si="25"/>
        <v>0</v>
      </c>
      <c r="AE171" s="459" t="str">
        <f>IFERROR(INDEX(V!$R:$R,MATCH(AF171,V!$L:$L,0)),"")</f>
        <v/>
      </c>
      <c r="AF171" s="460" t="str">
        <f t="shared" si="19"/>
        <v/>
      </c>
      <c r="AG171" s="459" t="str">
        <f>IFERROR(INDEX(V!$R:$R,MATCH(AH171,V!$L:$L,0)),"")</f>
        <v/>
      </c>
      <c r="AH171" s="460" t="str">
        <f t="shared" si="20"/>
        <v/>
      </c>
      <c r="AI171" s="459" t="str">
        <f>IFERROR(INDEX(V!$R:$R,MATCH(AJ171,V!$L:$L,0)),"")</f>
        <v/>
      </c>
      <c r="AJ171" s="460" t="str">
        <f t="shared" si="21"/>
        <v/>
      </c>
      <c r="AK171" s="459" t="str">
        <f>IFERROR(INDEX(V!$R:$R,MATCH(AL171,V!$L:$L,0)),"")</f>
        <v/>
      </c>
      <c r="AL171" s="460" t="str">
        <f t="shared" si="22"/>
        <v/>
      </c>
      <c r="AM171" s="459" t="str">
        <f>IFERROR(INDEX(V!$R:$R,MATCH(AN171,V!$L:$L,0)),"")</f>
        <v/>
      </c>
      <c r="AN171" s="460" t="str">
        <f t="shared" si="23"/>
        <v/>
      </c>
      <c r="AO171" s="459" t="str">
        <f>IFERROR(INDEX(V!$R:$R,MATCH(AP171,V!$L:$L,0)),"")</f>
        <v/>
      </c>
      <c r="AP171" s="460" t="str">
        <f t="shared" si="24"/>
        <v/>
      </c>
    </row>
    <row r="172" spans="1:42"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58">
        <f t="shared" si="25"/>
        <v>0</v>
      </c>
      <c r="AE172" s="459" t="str">
        <f>IFERROR(INDEX(V!$R:$R,MATCH(AF172,V!$L:$L,0)),"")</f>
        <v/>
      </c>
      <c r="AF172" s="460" t="str">
        <f t="shared" si="19"/>
        <v/>
      </c>
      <c r="AG172" s="459" t="str">
        <f>IFERROR(INDEX(V!$R:$R,MATCH(AH172,V!$L:$L,0)),"")</f>
        <v/>
      </c>
      <c r="AH172" s="460" t="str">
        <f t="shared" si="20"/>
        <v/>
      </c>
      <c r="AI172" s="459" t="str">
        <f>IFERROR(INDEX(V!$R:$R,MATCH(AJ172,V!$L:$L,0)),"")</f>
        <v/>
      </c>
      <c r="AJ172" s="460" t="str">
        <f t="shared" si="21"/>
        <v/>
      </c>
      <c r="AK172" s="459" t="str">
        <f>IFERROR(INDEX(V!$R:$R,MATCH(AL172,V!$L:$L,0)),"")</f>
        <v/>
      </c>
      <c r="AL172" s="460" t="str">
        <f t="shared" si="22"/>
        <v/>
      </c>
      <c r="AM172" s="459" t="str">
        <f>IFERROR(INDEX(V!$R:$R,MATCH(AN172,V!$L:$L,0)),"")</f>
        <v/>
      </c>
      <c r="AN172" s="460" t="str">
        <f t="shared" si="23"/>
        <v/>
      </c>
      <c r="AO172" s="459" t="str">
        <f>IFERROR(INDEX(V!$R:$R,MATCH(AP172,V!$L:$L,0)),"")</f>
        <v/>
      </c>
      <c r="AP172" s="460" t="str">
        <f t="shared" si="24"/>
        <v/>
      </c>
    </row>
    <row r="173" spans="1:42"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58">
        <f t="shared" si="25"/>
        <v>0</v>
      </c>
      <c r="AE173" s="459" t="str">
        <f>IFERROR(INDEX(V!$R:$R,MATCH(AF173,V!$L:$L,0)),"")</f>
        <v/>
      </c>
      <c r="AF173" s="460" t="str">
        <f t="shared" si="19"/>
        <v/>
      </c>
      <c r="AG173" s="459" t="str">
        <f>IFERROR(INDEX(V!$R:$R,MATCH(AH173,V!$L:$L,0)),"")</f>
        <v/>
      </c>
      <c r="AH173" s="460" t="str">
        <f t="shared" si="20"/>
        <v/>
      </c>
      <c r="AI173" s="459" t="str">
        <f>IFERROR(INDEX(V!$R:$R,MATCH(AJ173,V!$L:$L,0)),"")</f>
        <v/>
      </c>
      <c r="AJ173" s="460" t="str">
        <f t="shared" si="21"/>
        <v/>
      </c>
      <c r="AK173" s="459" t="str">
        <f>IFERROR(INDEX(V!$R:$R,MATCH(AL173,V!$L:$L,0)),"")</f>
        <v/>
      </c>
      <c r="AL173" s="460" t="str">
        <f t="shared" si="22"/>
        <v/>
      </c>
      <c r="AM173" s="459" t="str">
        <f>IFERROR(INDEX(V!$R:$R,MATCH(AN173,V!$L:$L,0)),"")</f>
        <v/>
      </c>
      <c r="AN173" s="460" t="str">
        <f t="shared" si="23"/>
        <v/>
      </c>
      <c r="AO173" s="459" t="str">
        <f>IFERROR(INDEX(V!$R:$R,MATCH(AP173,V!$L:$L,0)),"")</f>
        <v/>
      </c>
      <c r="AP173" s="460" t="str">
        <f t="shared" si="24"/>
        <v/>
      </c>
    </row>
    <row r="174" spans="1:42"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58">
        <f t="shared" si="25"/>
        <v>0</v>
      </c>
      <c r="AE174" s="459" t="str">
        <f>IFERROR(INDEX(V!$R:$R,MATCH(AF174,V!$L:$L,0)),"")</f>
        <v/>
      </c>
      <c r="AF174" s="460" t="str">
        <f t="shared" si="19"/>
        <v/>
      </c>
      <c r="AG174" s="459" t="str">
        <f>IFERROR(INDEX(V!$R:$R,MATCH(AH174,V!$L:$L,0)),"")</f>
        <v/>
      </c>
      <c r="AH174" s="460" t="str">
        <f t="shared" si="20"/>
        <v/>
      </c>
      <c r="AI174" s="459" t="str">
        <f>IFERROR(INDEX(V!$R:$R,MATCH(AJ174,V!$L:$L,0)),"")</f>
        <v/>
      </c>
      <c r="AJ174" s="460" t="str">
        <f t="shared" si="21"/>
        <v/>
      </c>
      <c r="AK174" s="459" t="str">
        <f>IFERROR(INDEX(V!$R:$R,MATCH(AL174,V!$L:$L,0)),"")</f>
        <v/>
      </c>
      <c r="AL174" s="460" t="str">
        <f t="shared" si="22"/>
        <v/>
      </c>
      <c r="AM174" s="459" t="str">
        <f>IFERROR(INDEX(V!$R:$R,MATCH(AN174,V!$L:$L,0)),"")</f>
        <v/>
      </c>
      <c r="AN174" s="460" t="str">
        <f t="shared" si="23"/>
        <v/>
      </c>
      <c r="AO174" s="459" t="str">
        <f>IFERROR(INDEX(V!$R:$R,MATCH(AP174,V!$L:$L,0)),"")</f>
        <v/>
      </c>
      <c r="AP174" s="460" t="str">
        <f t="shared" si="24"/>
        <v/>
      </c>
    </row>
    <row r="175" spans="1:42"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58">
        <f t="shared" si="25"/>
        <v>0</v>
      </c>
      <c r="AE175" s="459" t="str">
        <f>IFERROR(INDEX(V!$R:$R,MATCH(AF175,V!$L:$L,0)),"")</f>
        <v/>
      </c>
      <c r="AF175" s="460" t="str">
        <f t="shared" si="19"/>
        <v/>
      </c>
      <c r="AG175" s="459" t="str">
        <f>IFERROR(INDEX(V!$R:$R,MATCH(AH175,V!$L:$L,0)),"")</f>
        <v/>
      </c>
      <c r="AH175" s="460" t="str">
        <f t="shared" si="20"/>
        <v/>
      </c>
      <c r="AI175" s="459" t="str">
        <f>IFERROR(INDEX(V!$R:$R,MATCH(AJ175,V!$L:$L,0)),"")</f>
        <v/>
      </c>
      <c r="AJ175" s="460" t="str">
        <f t="shared" si="21"/>
        <v/>
      </c>
      <c r="AK175" s="459" t="str">
        <f>IFERROR(INDEX(V!$R:$R,MATCH(AL175,V!$L:$L,0)),"")</f>
        <v/>
      </c>
      <c r="AL175" s="460" t="str">
        <f t="shared" si="22"/>
        <v/>
      </c>
      <c r="AM175" s="459" t="str">
        <f>IFERROR(INDEX(V!$R:$R,MATCH(AN175,V!$L:$L,0)),"")</f>
        <v/>
      </c>
      <c r="AN175" s="460" t="str">
        <f t="shared" si="23"/>
        <v/>
      </c>
      <c r="AO175" s="459" t="str">
        <f>IFERROR(INDEX(V!$R:$R,MATCH(AP175,V!$L:$L,0)),"")</f>
        <v/>
      </c>
      <c r="AP175" s="460" t="str">
        <f t="shared" si="24"/>
        <v/>
      </c>
    </row>
    <row r="176" spans="1:42"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58">
        <f t="shared" si="25"/>
        <v>0</v>
      </c>
      <c r="AE176" s="459" t="str">
        <f>IFERROR(INDEX(V!$R:$R,MATCH(AF176,V!$L:$L,0)),"")</f>
        <v/>
      </c>
      <c r="AF176" s="460" t="str">
        <f t="shared" si="19"/>
        <v/>
      </c>
      <c r="AG176" s="459" t="str">
        <f>IFERROR(INDEX(V!$R:$R,MATCH(AH176,V!$L:$L,0)),"")</f>
        <v/>
      </c>
      <c r="AH176" s="460" t="str">
        <f t="shared" si="20"/>
        <v/>
      </c>
      <c r="AI176" s="459" t="str">
        <f>IFERROR(INDEX(V!$R:$R,MATCH(AJ176,V!$L:$L,0)),"")</f>
        <v/>
      </c>
      <c r="AJ176" s="460" t="str">
        <f t="shared" si="21"/>
        <v/>
      </c>
      <c r="AK176" s="459" t="str">
        <f>IFERROR(INDEX(V!$R:$R,MATCH(AL176,V!$L:$L,0)),"")</f>
        <v/>
      </c>
      <c r="AL176" s="460" t="str">
        <f t="shared" si="22"/>
        <v/>
      </c>
      <c r="AM176" s="459" t="str">
        <f>IFERROR(INDEX(V!$R:$R,MATCH(AN176,V!$L:$L,0)),"")</f>
        <v/>
      </c>
      <c r="AN176" s="460" t="str">
        <f t="shared" si="23"/>
        <v/>
      </c>
      <c r="AO176" s="459" t="str">
        <f>IFERROR(INDEX(V!$R:$R,MATCH(AP176,V!$L:$L,0)),"")</f>
        <v/>
      </c>
      <c r="AP176" s="460" t="str">
        <f t="shared" si="24"/>
        <v/>
      </c>
    </row>
    <row r="177" spans="1:42"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58">
        <f t="shared" si="25"/>
        <v>0</v>
      </c>
      <c r="AE177" s="459" t="str">
        <f>IFERROR(INDEX(V!$R:$R,MATCH(AF177,V!$L:$L,0)),"")</f>
        <v/>
      </c>
      <c r="AF177" s="460" t="str">
        <f t="shared" si="19"/>
        <v/>
      </c>
      <c r="AG177" s="459" t="str">
        <f>IFERROR(INDEX(V!$R:$R,MATCH(AH177,V!$L:$L,0)),"")</f>
        <v/>
      </c>
      <c r="AH177" s="460" t="str">
        <f t="shared" si="20"/>
        <v/>
      </c>
      <c r="AI177" s="459" t="str">
        <f>IFERROR(INDEX(V!$R:$R,MATCH(AJ177,V!$L:$L,0)),"")</f>
        <v/>
      </c>
      <c r="AJ177" s="460" t="str">
        <f t="shared" si="21"/>
        <v/>
      </c>
      <c r="AK177" s="459" t="str">
        <f>IFERROR(INDEX(V!$R:$R,MATCH(AL177,V!$L:$L,0)),"")</f>
        <v/>
      </c>
      <c r="AL177" s="460" t="str">
        <f t="shared" si="22"/>
        <v/>
      </c>
      <c r="AM177" s="459" t="str">
        <f>IFERROR(INDEX(V!$R:$R,MATCH(AN177,V!$L:$L,0)),"")</f>
        <v/>
      </c>
      <c r="AN177" s="460" t="str">
        <f t="shared" si="23"/>
        <v/>
      </c>
      <c r="AO177" s="459" t="str">
        <f>IFERROR(INDEX(V!$R:$R,MATCH(AP177,V!$L:$L,0)),"")</f>
        <v/>
      </c>
      <c r="AP177" s="460" t="str">
        <f t="shared" si="24"/>
        <v/>
      </c>
    </row>
    <row r="178" spans="1:42"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58">
        <f t="shared" si="25"/>
        <v>0</v>
      </c>
      <c r="AE178" s="459" t="str">
        <f>IFERROR(INDEX(V!$R:$R,MATCH(AF178,V!$L:$L,0)),"")</f>
        <v/>
      </c>
      <c r="AF178" s="460" t="str">
        <f t="shared" si="19"/>
        <v/>
      </c>
      <c r="AG178" s="459" t="str">
        <f>IFERROR(INDEX(V!$R:$R,MATCH(AH178,V!$L:$L,0)),"")</f>
        <v/>
      </c>
      <c r="AH178" s="460" t="str">
        <f t="shared" si="20"/>
        <v/>
      </c>
      <c r="AI178" s="459" t="str">
        <f>IFERROR(INDEX(V!$R:$R,MATCH(AJ178,V!$L:$L,0)),"")</f>
        <v/>
      </c>
      <c r="AJ178" s="460" t="str">
        <f t="shared" si="21"/>
        <v/>
      </c>
      <c r="AK178" s="459" t="str">
        <f>IFERROR(INDEX(V!$R:$R,MATCH(AL178,V!$L:$L,0)),"")</f>
        <v/>
      </c>
      <c r="AL178" s="460" t="str">
        <f t="shared" si="22"/>
        <v/>
      </c>
      <c r="AM178" s="459" t="str">
        <f>IFERROR(INDEX(V!$R:$R,MATCH(AN178,V!$L:$L,0)),"")</f>
        <v/>
      </c>
      <c r="AN178" s="460" t="str">
        <f t="shared" si="23"/>
        <v/>
      </c>
      <c r="AO178" s="459" t="str">
        <f>IFERROR(INDEX(V!$R:$R,MATCH(AP178,V!$L:$L,0)),"")</f>
        <v/>
      </c>
      <c r="AP178" s="460" t="str">
        <f t="shared" si="24"/>
        <v/>
      </c>
    </row>
    <row r="179" spans="1:42"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58">
        <f t="shared" si="25"/>
        <v>0</v>
      </c>
      <c r="AE179" s="459" t="str">
        <f>IFERROR(INDEX(V!$R:$R,MATCH(AF179,V!$L:$L,0)),"")</f>
        <v/>
      </c>
      <c r="AF179" s="460" t="str">
        <f t="shared" si="19"/>
        <v/>
      </c>
      <c r="AG179" s="459" t="str">
        <f>IFERROR(INDEX(V!$R:$R,MATCH(AH179,V!$L:$L,0)),"")</f>
        <v/>
      </c>
      <c r="AH179" s="460" t="str">
        <f t="shared" si="20"/>
        <v/>
      </c>
      <c r="AI179" s="459" t="str">
        <f>IFERROR(INDEX(V!$R:$R,MATCH(AJ179,V!$L:$L,0)),"")</f>
        <v/>
      </c>
      <c r="AJ179" s="460" t="str">
        <f t="shared" si="21"/>
        <v/>
      </c>
      <c r="AK179" s="459" t="str">
        <f>IFERROR(INDEX(V!$R:$R,MATCH(AL179,V!$L:$L,0)),"")</f>
        <v/>
      </c>
      <c r="AL179" s="460" t="str">
        <f t="shared" si="22"/>
        <v/>
      </c>
      <c r="AM179" s="459" t="str">
        <f>IFERROR(INDEX(V!$R:$R,MATCH(AN179,V!$L:$L,0)),"")</f>
        <v/>
      </c>
      <c r="AN179" s="460" t="str">
        <f t="shared" si="23"/>
        <v/>
      </c>
      <c r="AO179" s="459" t="str">
        <f>IFERROR(INDEX(V!$R:$R,MATCH(AP179,V!$L:$L,0)),"")</f>
        <v/>
      </c>
      <c r="AP179" s="460" t="str">
        <f t="shared" si="24"/>
        <v/>
      </c>
    </row>
    <row r="180" spans="1:42"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58">
        <f t="shared" si="25"/>
        <v>0</v>
      </c>
      <c r="AE180" s="459" t="str">
        <f>IFERROR(INDEX(V!$R:$R,MATCH(AF180,V!$L:$L,0)),"")</f>
        <v/>
      </c>
      <c r="AF180" s="460" t="str">
        <f t="shared" si="19"/>
        <v/>
      </c>
      <c r="AG180" s="459" t="str">
        <f>IFERROR(INDEX(V!$R:$R,MATCH(AH180,V!$L:$L,0)),"")</f>
        <v/>
      </c>
      <c r="AH180" s="460" t="str">
        <f t="shared" si="20"/>
        <v/>
      </c>
      <c r="AI180" s="459" t="str">
        <f>IFERROR(INDEX(V!$R:$R,MATCH(AJ180,V!$L:$L,0)),"")</f>
        <v/>
      </c>
      <c r="AJ180" s="460" t="str">
        <f t="shared" si="21"/>
        <v/>
      </c>
      <c r="AK180" s="459" t="str">
        <f>IFERROR(INDEX(V!$R:$R,MATCH(AL180,V!$L:$L,0)),"")</f>
        <v/>
      </c>
      <c r="AL180" s="460" t="str">
        <f t="shared" si="22"/>
        <v/>
      </c>
      <c r="AM180" s="459" t="str">
        <f>IFERROR(INDEX(V!$R:$R,MATCH(AN180,V!$L:$L,0)),"")</f>
        <v/>
      </c>
      <c r="AN180" s="460" t="str">
        <f t="shared" si="23"/>
        <v/>
      </c>
      <c r="AO180" s="459" t="str">
        <f>IFERROR(INDEX(V!$R:$R,MATCH(AP180,V!$L:$L,0)),"")</f>
        <v/>
      </c>
      <c r="AP180" s="460" t="str">
        <f t="shared" si="24"/>
        <v/>
      </c>
    </row>
    <row r="181" spans="1:42"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58">
        <f t="shared" si="25"/>
        <v>0</v>
      </c>
      <c r="AE181" s="459" t="str">
        <f>IFERROR(INDEX(V!$R:$R,MATCH(AF181,V!$L:$L,0)),"")</f>
        <v/>
      </c>
      <c r="AF181" s="460" t="str">
        <f t="shared" si="19"/>
        <v/>
      </c>
      <c r="AG181" s="459" t="str">
        <f>IFERROR(INDEX(V!$R:$R,MATCH(AH181,V!$L:$L,0)),"")</f>
        <v/>
      </c>
      <c r="AH181" s="460" t="str">
        <f t="shared" si="20"/>
        <v/>
      </c>
      <c r="AI181" s="459" t="str">
        <f>IFERROR(INDEX(V!$R:$R,MATCH(AJ181,V!$L:$L,0)),"")</f>
        <v/>
      </c>
      <c r="AJ181" s="460" t="str">
        <f t="shared" si="21"/>
        <v/>
      </c>
      <c r="AK181" s="459" t="str">
        <f>IFERROR(INDEX(V!$R:$R,MATCH(AL181,V!$L:$L,0)),"")</f>
        <v/>
      </c>
      <c r="AL181" s="460" t="str">
        <f t="shared" si="22"/>
        <v/>
      </c>
      <c r="AM181" s="459" t="str">
        <f>IFERROR(INDEX(V!$R:$R,MATCH(AN181,V!$L:$L,0)),"")</f>
        <v/>
      </c>
      <c r="AN181" s="460" t="str">
        <f t="shared" si="23"/>
        <v/>
      </c>
      <c r="AO181" s="459" t="str">
        <f>IFERROR(INDEX(V!$R:$R,MATCH(AP181,V!$L:$L,0)),"")</f>
        <v/>
      </c>
      <c r="AP181" s="460" t="str">
        <f t="shared" si="24"/>
        <v/>
      </c>
    </row>
    <row r="182" spans="1:42"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58">
        <f t="shared" si="25"/>
        <v>0</v>
      </c>
      <c r="AE182" s="459" t="str">
        <f>IFERROR(INDEX(V!$R:$R,MATCH(AF182,V!$L:$L,0)),"")</f>
        <v/>
      </c>
      <c r="AF182" s="460" t="str">
        <f t="shared" si="19"/>
        <v/>
      </c>
      <c r="AG182" s="459" t="str">
        <f>IFERROR(INDEX(V!$R:$R,MATCH(AH182,V!$L:$L,0)),"")</f>
        <v/>
      </c>
      <c r="AH182" s="460" t="str">
        <f t="shared" si="20"/>
        <v/>
      </c>
      <c r="AI182" s="459" t="str">
        <f>IFERROR(INDEX(V!$R:$R,MATCH(AJ182,V!$L:$L,0)),"")</f>
        <v/>
      </c>
      <c r="AJ182" s="460" t="str">
        <f t="shared" si="21"/>
        <v/>
      </c>
      <c r="AK182" s="459" t="str">
        <f>IFERROR(INDEX(V!$R:$R,MATCH(AL182,V!$L:$L,0)),"")</f>
        <v/>
      </c>
      <c r="AL182" s="460" t="str">
        <f t="shared" si="22"/>
        <v/>
      </c>
      <c r="AM182" s="459" t="str">
        <f>IFERROR(INDEX(V!$R:$R,MATCH(AN182,V!$L:$L,0)),"")</f>
        <v/>
      </c>
      <c r="AN182" s="460" t="str">
        <f t="shared" si="23"/>
        <v/>
      </c>
      <c r="AO182" s="459" t="str">
        <f>IFERROR(INDEX(V!$R:$R,MATCH(AP182,V!$L:$L,0)),"")</f>
        <v/>
      </c>
      <c r="AP182" s="460" t="str">
        <f t="shared" si="24"/>
        <v/>
      </c>
    </row>
    <row r="183" spans="1:42"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58">
        <f t="shared" si="25"/>
        <v>0</v>
      </c>
      <c r="AE183" s="459" t="str">
        <f>IFERROR(INDEX(V!$R:$R,MATCH(AF183,V!$L:$L,0)),"")</f>
        <v/>
      </c>
      <c r="AF183" s="460" t="str">
        <f t="shared" si="19"/>
        <v/>
      </c>
      <c r="AG183" s="459" t="str">
        <f>IFERROR(INDEX(V!$R:$R,MATCH(AH183,V!$L:$L,0)),"")</f>
        <v/>
      </c>
      <c r="AH183" s="460" t="str">
        <f t="shared" si="20"/>
        <v/>
      </c>
      <c r="AI183" s="459" t="str">
        <f>IFERROR(INDEX(V!$R:$R,MATCH(AJ183,V!$L:$L,0)),"")</f>
        <v/>
      </c>
      <c r="AJ183" s="460" t="str">
        <f t="shared" si="21"/>
        <v/>
      </c>
      <c r="AK183" s="459" t="str">
        <f>IFERROR(INDEX(V!$R:$R,MATCH(AL183,V!$L:$L,0)),"")</f>
        <v/>
      </c>
      <c r="AL183" s="460" t="str">
        <f t="shared" si="22"/>
        <v/>
      </c>
      <c r="AM183" s="459" t="str">
        <f>IFERROR(INDEX(V!$R:$R,MATCH(AN183,V!$L:$L,0)),"")</f>
        <v/>
      </c>
      <c r="AN183" s="460" t="str">
        <f t="shared" si="23"/>
        <v/>
      </c>
      <c r="AO183" s="459" t="str">
        <f>IFERROR(INDEX(V!$R:$R,MATCH(AP183,V!$L:$L,0)),"")</f>
        <v/>
      </c>
      <c r="AP183" s="460" t="str">
        <f t="shared" si="24"/>
        <v/>
      </c>
    </row>
    <row r="184" spans="1:42"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58">
        <f t="shared" si="25"/>
        <v>0</v>
      </c>
      <c r="AE184" s="459" t="str">
        <f>IFERROR(INDEX(V!$R:$R,MATCH(AF184,V!$L:$L,0)),"")</f>
        <v/>
      </c>
      <c r="AF184" s="460" t="str">
        <f t="shared" si="19"/>
        <v/>
      </c>
      <c r="AG184" s="459" t="str">
        <f>IFERROR(INDEX(V!$R:$R,MATCH(AH184,V!$L:$L,0)),"")</f>
        <v/>
      </c>
      <c r="AH184" s="460" t="str">
        <f t="shared" si="20"/>
        <v/>
      </c>
      <c r="AI184" s="459" t="str">
        <f>IFERROR(INDEX(V!$R:$R,MATCH(AJ184,V!$L:$L,0)),"")</f>
        <v/>
      </c>
      <c r="AJ184" s="460" t="str">
        <f t="shared" si="21"/>
        <v/>
      </c>
      <c r="AK184" s="459" t="str">
        <f>IFERROR(INDEX(V!$R:$R,MATCH(AL184,V!$L:$L,0)),"")</f>
        <v/>
      </c>
      <c r="AL184" s="460" t="str">
        <f t="shared" si="22"/>
        <v/>
      </c>
      <c r="AM184" s="459" t="str">
        <f>IFERROR(INDEX(V!$R:$R,MATCH(AN184,V!$L:$L,0)),"")</f>
        <v/>
      </c>
      <c r="AN184" s="460" t="str">
        <f t="shared" si="23"/>
        <v/>
      </c>
      <c r="AO184" s="459" t="str">
        <f>IFERROR(INDEX(V!$R:$R,MATCH(AP184,V!$L:$L,0)),"")</f>
        <v/>
      </c>
      <c r="AP184" s="460" t="str">
        <f t="shared" si="24"/>
        <v/>
      </c>
    </row>
    <row r="185" spans="1:42"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58">
        <f t="shared" si="25"/>
        <v>0</v>
      </c>
      <c r="AE185" s="459" t="str">
        <f>IFERROR(INDEX(V!$R:$R,MATCH(AF185,V!$L:$L,0)),"")</f>
        <v/>
      </c>
      <c r="AF185" s="460" t="str">
        <f t="shared" si="19"/>
        <v/>
      </c>
      <c r="AG185" s="459" t="str">
        <f>IFERROR(INDEX(V!$R:$R,MATCH(AH185,V!$L:$L,0)),"")</f>
        <v/>
      </c>
      <c r="AH185" s="460" t="str">
        <f t="shared" si="20"/>
        <v/>
      </c>
      <c r="AI185" s="459" t="str">
        <f>IFERROR(INDEX(V!$R:$R,MATCH(AJ185,V!$L:$L,0)),"")</f>
        <v/>
      </c>
      <c r="AJ185" s="460" t="str">
        <f t="shared" si="21"/>
        <v/>
      </c>
      <c r="AK185" s="459" t="str">
        <f>IFERROR(INDEX(V!$R:$R,MATCH(AL185,V!$L:$L,0)),"")</f>
        <v/>
      </c>
      <c r="AL185" s="460" t="str">
        <f t="shared" si="22"/>
        <v/>
      </c>
      <c r="AM185" s="459" t="str">
        <f>IFERROR(INDEX(V!$R:$R,MATCH(AN185,V!$L:$L,0)),"")</f>
        <v/>
      </c>
      <c r="AN185" s="460" t="str">
        <f t="shared" si="23"/>
        <v/>
      </c>
      <c r="AO185" s="459" t="str">
        <f>IFERROR(INDEX(V!$R:$R,MATCH(AP185,V!$L:$L,0)),"")</f>
        <v/>
      </c>
      <c r="AP185" s="460" t="str">
        <f t="shared" si="24"/>
        <v/>
      </c>
    </row>
    <row r="186" spans="1:42"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58">
        <f t="shared" si="25"/>
        <v>0</v>
      </c>
      <c r="AE186" s="459" t="str">
        <f>IFERROR(INDEX(V!$R:$R,MATCH(AF186,V!$L:$L,0)),"")</f>
        <v/>
      </c>
      <c r="AF186" s="460" t="str">
        <f t="shared" si="19"/>
        <v/>
      </c>
      <c r="AG186" s="459" t="str">
        <f>IFERROR(INDEX(V!$R:$R,MATCH(AH186,V!$L:$L,0)),"")</f>
        <v/>
      </c>
      <c r="AH186" s="460" t="str">
        <f t="shared" si="20"/>
        <v/>
      </c>
      <c r="AI186" s="459" t="str">
        <f>IFERROR(INDEX(V!$R:$R,MATCH(AJ186,V!$L:$L,0)),"")</f>
        <v/>
      </c>
      <c r="AJ186" s="460" t="str">
        <f t="shared" si="21"/>
        <v/>
      </c>
      <c r="AK186" s="459" t="str">
        <f>IFERROR(INDEX(V!$R:$R,MATCH(AL186,V!$L:$L,0)),"")</f>
        <v/>
      </c>
      <c r="AL186" s="460" t="str">
        <f t="shared" si="22"/>
        <v/>
      </c>
      <c r="AM186" s="459" t="str">
        <f>IFERROR(INDEX(V!$R:$R,MATCH(AN186,V!$L:$L,0)),"")</f>
        <v/>
      </c>
      <c r="AN186" s="460" t="str">
        <f t="shared" si="23"/>
        <v/>
      </c>
      <c r="AO186" s="459" t="str">
        <f>IFERROR(INDEX(V!$R:$R,MATCH(AP186,V!$L:$L,0)),"")</f>
        <v/>
      </c>
      <c r="AP186" s="460" t="str">
        <f t="shared" si="24"/>
        <v/>
      </c>
    </row>
    <row r="187" spans="1:42"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58">
        <f t="shared" si="25"/>
        <v>0</v>
      </c>
      <c r="AE187" s="459" t="str">
        <f>IFERROR(INDEX(V!$R:$R,MATCH(AF187,V!$L:$L,0)),"")</f>
        <v/>
      </c>
      <c r="AF187" s="460" t="str">
        <f t="shared" si="19"/>
        <v/>
      </c>
      <c r="AG187" s="459" t="str">
        <f>IFERROR(INDEX(V!$R:$R,MATCH(AH187,V!$L:$L,0)),"")</f>
        <v/>
      </c>
      <c r="AH187" s="460" t="str">
        <f t="shared" si="20"/>
        <v/>
      </c>
      <c r="AI187" s="459" t="str">
        <f>IFERROR(INDEX(V!$R:$R,MATCH(AJ187,V!$L:$L,0)),"")</f>
        <v/>
      </c>
      <c r="AJ187" s="460" t="str">
        <f t="shared" si="21"/>
        <v/>
      </c>
      <c r="AK187" s="459" t="str">
        <f>IFERROR(INDEX(V!$R:$R,MATCH(AL187,V!$L:$L,0)),"")</f>
        <v/>
      </c>
      <c r="AL187" s="460" t="str">
        <f t="shared" si="22"/>
        <v/>
      </c>
      <c r="AM187" s="459" t="str">
        <f>IFERROR(INDEX(V!$R:$R,MATCH(AN187,V!$L:$L,0)),"")</f>
        <v/>
      </c>
      <c r="AN187" s="460" t="str">
        <f t="shared" si="23"/>
        <v/>
      </c>
      <c r="AO187" s="459" t="str">
        <f>IFERROR(INDEX(V!$R:$R,MATCH(AP187,V!$L:$L,0)),"")</f>
        <v/>
      </c>
      <c r="AP187" s="460" t="str">
        <f t="shared" si="24"/>
        <v/>
      </c>
    </row>
    <row r="188" spans="1:42"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58">
        <f t="shared" si="25"/>
        <v>0</v>
      </c>
      <c r="AE188" s="459" t="str">
        <f>IFERROR(INDEX(V!$R:$R,MATCH(AF188,V!$L:$L,0)),"")</f>
        <v/>
      </c>
      <c r="AF188" s="460" t="str">
        <f t="shared" si="19"/>
        <v/>
      </c>
      <c r="AG188" s="459" t="str">
        <f>IFERROR(INDEX(V!$R:$R,MATCH(AH188,V!$L:$L,0)),"")</f>
        <v/>
      </c>
      <c r="AH188" s="460" t="str">
        <f t="shared" si="20"/>
        <v/>
      </c>
      <c r="AI188" s="459" t="str">
        <f>IFERROR(INDEX(V!$R:$R,MATCH(AJ188,V!$L:$L,0)),"")</f>
        <v/>
      </c>
      <c r="AJ188" s="460" t="str">
        <f t="shared" si="21"/>
        <v/>
      </c>
      <c r="AK188" s="459" t="str">
        <f>IFERROR(INDEX(V!$R:$R,MATCH(AL188,V!$L:$L,0)),"")</f>
        <v/>
      </c>
      <c r="AL188" s="460" t="str">
        <f t="shared" si="22"/>
        <v/>
      </c>
      <c r="AM188" s="459" t="str">
        <f>IFERROR(INDEX(V!$R:$R,MATCH(AN188,V!$L:$L,0)),"")</f>
        <v/>
      </c>
      <c r="AN188" s="460" t="str">
        <f t="shared" si="23"/>
        <v/>
      </c>
      <c r="AO188" s="459" t="str">
        <f>IFERROR(INDEX(V!$R:$R,MATCH(AP188,V!$L:$L,0)),"")</f>
        <v/>
      </c>
      <c r="AP188" s="460" t="str">
        <f t="shared" si="24"/>
        <v/>
      </c>
    </row>
    <row r="189" spans="1:42"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58">
        <f t="shared" si="25"/>
        <v>0</v>
      </c>
      <c r="AE189" s="459" t="str">
        <f>IFERROR(INDEX(V!$R:$R,MATCH(AF189,V!$L:$L,0)),"")</f>
        <v/>
      </c>
      <c r="AF189" s="460" t="str">
        <f t="shared" si="19"/>
        <v/>
      </c>
      <c r="AG189" s="459" t="str">
        <f>IFERROR(INDEX(V!$R:$R,MATCH(AH189,V!$L:$L,0)),"")</f>
        <v/>
      </c>
      <c r="AH189" s="460" t="str">
        <f t="shared" si="20"/>
        <v/>
      </c>
      <c r="AI189" s="459" t="str">
        <f>IFERROR(INDEX(V!$R:$R,MATCH(AJ189,V!$L:$L,0)),"")</f>
        <v/>
      </c>
      <c r="AJ189" s="460" t="str">
        <f t="shared" si="21"/>
        <v/>
      </c>
      <c r="AK189" s="459" t="str">
        <f>IFERROR(INDEX(V!$R:$R,MATCH(AL189,V!$L:$L,0)),"")</f>
        <v/>
      </c>
      <c r="AL189" s="460" t="str">
        <f t="shared" si="22"/>
        <v/>
      </c>
      <c r="AM189" s="459" t="str">
        <f>IFERROR(INDEX(V!$R:$R,MATCH(AN189,V!$L:$L,0)),"")</f>
        <v/>
      </c>
      <c r="AN189" s="460" t="str">
        <f t="shared" si="23"/>
        <v/>
      </c>
      <c r="AO189" s="459" t="str">
        <f>IFERROR(INDEX(V!$R:$R,MATCH(AP189,V!$L:$L,0)),"")</f>
        <v/>
      </c>
      <c r="AP189" s="460" t="str">
        <f t="shared" si="24"/>
        <v/>
      </c>
    </row>
    <row r="190" spans="1:42"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58">
        <f t="shared" si="25"/>
        <v>0</v>
      </c>
      <c r="AE190" s="459" t="str">
        <f>IFERROR(INDEX(V!$R:$R,MATCH(AF190,V!$L:$L,0)),"")</f>
        <v/>
      </c>
      <c r="AF190" s="460" t="str">
        <f t="shared" si="19"/>
        <v/>
      </c>
      <c r="AG190" s="459" t="str">
        <f>IFERROR(INDEX(V!$R:$R,MATCH(AH190,V!$L:$L,0)),"")</f>
        <v/>
      </c>
      <c r="AH190" s="460" t="str">
        <f t="shared" si="20"/>
        <v/>
      </c>
      <c r="AI190" s="459" t="str">
        <f>IFERROR(INDEX(V!$R:$R,MATCH(AJ190,V!$L:$L,0)),"")</f>
        <v/>
      </c>
      <c r="AJ190" s="460" t="str">
        <f t="shared" si="21"/>
        <v/>
      </c>
      <c r="AK190" s="459" t="str">
        <f>IFERROR(INDEX(V!$R:$R,MATCH(AL190,V!$L:$L,0)),"")</f>
        <v/>
      </c>
      <c r="AL190" s="460" t="str">
        <f t="shared" si="22"/>
        <v/>
      </c>
      <c r="AM190" s="459" t="str">
        <f>IFERROR(INDEX(V!$R:$R,MATCH(AN190,V!$L:$L,0)),"")</f>
        <v/>
      </c>
      <c r="AN190" s="460" t="str">
        <f t="shared" si="23"/>
        <v/>
      </c>
      <c r="AO190" s="459" t="str">
        <f>IFERROR(INDEX(V!$R:$R,MATCH(AP190,V!$L:$L,0)),"")</f>
        <v/>
      </c>
      <c r="AP190" s="460" t="str">
        <f t="shared" si="24"/>
        <v/>
      </c>
    </row>
    <row r="191" spans="1:42"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58">
        <f t="shared" si="25"/>
        <v>0</v>
      </c>
      <c r="AE191" s="459" t="str">
        <f>IFERROR(INDEX(V!$R:$R,MATCH(AF191,V!$L:$L,0)),"")</f>
        <v/>
      </c>
      <c r="AF191" s="460" t="str">
        <f t="shared" si="19"/>
        <v/>
      </c>
      <c r="AG191" s="459" t="str">
        <f>IFERROR(INDEX(V!$R:$R,MATCH(AH191,V!$L:$L,0)),"")</f>
        <v/>
      </c>
      <c r="AH191" s="460" t="str">
        <f t="shared" si="20"/>
        <v/>
      </c>
      <c r="AI191" s="459" t="str">
        <f>IFERROR(INDEX(V!$R:$R,MATCH(AJ191,V!$L:$L,0)),"")</f>
        <v/>
      </c>
      <c r="AJ191" s="460" t="str">
        <f t="shared" si="21"/>
        <v/>
      </c>
      <c r="AK191" s="459" t="str">
        <f>IFERROR(INDEX(V!$R:$R,MATCH(AL191,V!$L:$L,0)),"")</f>
        <v/>
      </c>
      <c r="AL191" s="460" t="str">
        <f t="shared" si="22"/>
        <v/>
      </c>
      <c r="AM191" s="459" t="str">
        <f>IFERROR(INDEX(V!$R:$R,MATCH(AN191,V!$L:$L,0)),"")</f>
        <v/>
      </c>
      <c r="AN191" s="460" t="str">
        <f t="shared" si="23"/>
        <v/>
      </c>
      <c r="AO191" s="459" t="str">
        <f>IFERROR(INDEX(V!$R:$R,MATCH(AP191,V!$L:$L,0)),"")</f>
        <v/>
      </c>
      <c r="AP191" s="460" t="str">
        <f t="shared" si="24"/>
        <v/>
      </c>
    </row>
    <row r="192" spans="1:42"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58">
        <f t="shared" si="25"/>
        <v>0</v>
      </c>
      <c r="AE192" s="459" t="str">
        <f>IFERROR(INDEX(V!$R:$R,MATCH(AF192,V!$L:$L,0)),"")</f>
        <v/>
      </c>
      <c r="AF192" s="460" t="str">
        <f t="shared" si="19"/>
        <v/>
      </c>
      <c r="AG192" s="459" t="str">
        <f>IFERROR(INDEX(V!$R:$R,MATCH(AH192,V!$L:$L,0)),"")</f>
        <v/>
      </c>
      <c r="AH192" s="460" t="str">
        <f t="shared" si="20"/>
        <v/>
      </c>
      <c r="AI192" s="459" t="str">
        <f>IFERROR(INDEX(V!$R:$R,MATCH(AJ192,V!$L:$L,0)),"")</f>
        <v/>
      </c>
      <c r="AJ192" s="460" t="str">
        <f t="shared" si="21"/>
        <v/>
      </c>
      <c r="AK192" s="459" t="str">
        <f>IFERROR(INDEX(V!$R:$R,MATCH(AL192,V!$L:$L,0)),"")</f>
        <v/>
      </c>
      <c r="AL192" s="460" t="str">
        <f t="shared" si="22"/>
        <v/>
      </c>
      <c r="AM192" s="459" t="str">
        <f>IFERROR(INDEX(V!$R:$R,MATCH(AN192,V!$L:$L,0)),"")</f>
        <v/>
      </c>
      <c r="AN192" s="460" t="str">
        <f t="shared" si="23"/>
        <v/>
      </c>
      <c r="AO192" s="459" t="str">
        <f>IFERROR(INDEX(V!$R:$R,MATCH(AP192,V!$L:$L,0)),"")</f>
        <v/>
      </c>
      <c r="AP192" s="460" t="str">
        <f t="shared" si="24"/>
        <v/>
      </c>
    </row>
    <row r="193" spans="1:42"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58">
        <f t="shared" si="25"/>
        <v>0</v>
      </c>
      <c r="AE193" s="459" t="str">
        <f>IFERROR(INDEX(V!$R:$R,MATCH(AF193,V!$L:$L,0)),"")</f>
        <v/>
      </c>
      <c r="AF193" s="460" t="str">
        <f t="shared" si="19"/>
        <v/>
      </c>
      <c r="AG193" s="459" t="str">
        <f>IFERROR(INDEX(V!$R:$R,MATCH(AH193,V!$L:$L,0)),"")</f>
        <v/>
      </c>
      <c r="AH193" s="460" t="str">
        <f t="shared" si="20"/>
        <v/>
      </c>
      <c r="AI193" s="459" t="str">
        <f>IFERROR(INDEX(V!$R:$R,MATCH(AJ193,V!$L:$L,0)),"")</f>
        <v/>
      </c>
      <c r="AJ193" s="460" t="str">
        <f t="shared" si="21"/>
        <v/>
      </c>
      <c r="AK193" s="459" t="str">
        <f>IFERROR(INDEX(V!$R:$R,MATCH(AL193,V!$L:$L,0)),"")</f>
        <v/>
      </c>
      <c r="AL193" s="460" t="str">
        <f t="shared" si="22"/>
        <v/>
      </c>
      <c r="AM193" s="459" t="str">
        <f>IFERROR(INDEX(V!$R:$R,MATCH(AN193,V!$L:$L,0)),"")</f>
        <v/>
      </c>
      <c r="AN193" s="460" t="str">
        <f t="shared" si="23"/>
        <v/>
      </c>
      <c r="AO193" s="459" t="str">
        <f>IFERROR(INDEX(V!$R:$R,MATCH(AP193,V!$L:$L,0)),"")</f>
        <v/>
      </c>
      <c r="AP193" s="460" t="str">
        <f t="shared" si="24"/>
        <v/>
      </c>
    </row>
    <row r="194" spans="1:42"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58">
        <f t="shared" si="25"/>
        <v>0</v>
      </c>
      <c r="AE194" s="459" t="str">
        <f>IFERROR(INDEX(V!$R:$R,MATCH(AF194,V!$L:$L,0)),"")</f>
        <v/>
      </c>
      <c r="AF194" s="460" t="str">
        <f t="shared" si="19"/>
        <v/>
      </c>
      <c r="AG194" s="459" t="str">
        <f>IFERROR(INDEX(V!$R:$R,MATCH(AH194,V!$L:$L,0)),"")</f>
        <v/>
      </c>
      <c r="AH194" s="460" t="str">
        <f t="shared" si="20"/>
        <v/>
      </c>
      <c r="AI194" s="459" t="str">
        <f>IFERROR(INDEX(V!$R:$R,MATCH(AJ194,V!$L:$L,0)),"")</f>
        <v/>
      </c>
      <c r="AJ194" s="460" t="str">
        <f t="shared" si="21"/>
        <v/>
      </c>
      <c r="AK194" s="459" t="str">
        <f>IFERROR(INDEX(V!$R:$R,MATCH(AL194,V!$L:$L,0)),"")</f>
        <v/>
      </c>
      <c r="AL194" s="460" t="str">
        <f t="shared" si="22"/>
        <v/>
      </c>
      <c r="AM194" s="459" t="str">
        <f>IFERROR(INDEX(V!$R:$R,MATCH(AN194,V!$L:$L,0)),"")</f>
        <v/>
      </c>
      <c r="AN194" s="460" t="str">
        <f t="shared" si="23"/>
        <v/>
      </c>
      <c r="AO194" s="459" t="str">
        <f>IFERROR(INDEX(V!$R:$R,MATCH(AP194,V!$L:$L,0)),"")</f>
        <v/>
      </c>
      <c r="AP194" s="460" t="str">
        <f t="shared" si="24"/>
        <v/>
      </c>
    </row>
    <row r="195" spans="1:42"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58">
        <f t="shared" si="25"/>
        <v>0</v>
      </c>
      <c r="AE195" s="459" t="str">
        <f>IFERROR(INDEX(V!$R:$R,MATCH(AF195,V!$L:$L,0)),"")</f>
        <v/>
      </c>
      <c r="AF195" s="460" t="str">
        <f t="shared" si="19"/>
        <v/>
      </c>
      <c r="AG195" s="459" t="str">
        <f>IFERROR(INDEX(V!$R:$R,MATCH(AH195,V!$L:$L,0)),"")</f>
        <v/>
      </c>
      <c r="AH195" s="460" t="str">
        <f t="shared" si="20"/>
        <v/>
      </c>
      <c r="AI195" s="459" t="str">
        <f>IFERROR(INDEX(V!$R:$R,MATCH(AJ195,V!$L:$L,0)),"")</f>
        <v/>
      </c>
      <c r="AJ195" s="460" t="str">
        <f t="shared" si="21"/>
        <v/>
      </c>
      <c r="AK195" s="459" t="str">
        <f>IFERROR(INDEX(V!$R:$R,MATCH(AL195,V!$L:$L,0)),"")</f>
        <v/>
      </c>
      <c r="AL195" s="460" t="str">
        <f t="shared" si="22"/>
        <v/>
      </c>
      <c r="AM195" s="459" t="str">
        <f>IFERROR(INDEX(V!$R:$R,MATCH(AN195,V!$L:$L,0)),"")</f>
        <v/>
      </c>
      <c r="AN195" s="460" t="str">
        <f t="shared" si="23"/>
        <v/>
      </c>
      <c r="AO195" s="459" t="str">
        <f>IFERROR(INDEX(V!$R:$R,MATCH(AP195,V!$L:$L,0)),"")</f>
        <v/>
      </c>
      <c r="AP195" s="460" t="str">
        <f t="shared" si="24"/>
        <v/>
      </c>
    </row>
    <row r="196" spans="1:42"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58">
        <f t="shared" si="25"/>
        <v>0</v>
      </c>
      <c r="AE196" s="459" t="str">
        <f>IFERROR(INDEX(V!$R:$R,MATCH(AF196,V!$L:$L,0)),"")</f>
        <v/>
      </c>
      <c r="AF196" s="460" t="str">
        <f t="shared" si="19"/>
        <v/>
      </c>
      <c r="AG196" s="459" t="str">
        <f>IFERROR(INDEX(V!$R:$R,MATCH(AH196,V!$L:$L,0)),"")</f>
        <v/>
      </c>
      <c r="AH196" s="460" t="str">
        <f t="shared" si="20"/>
        <v/>
      </c>
      <c r="AI196" s="459" t="str">
        <f>IFERROR(INDEX(V!$R:$R,MATCH(AJ196,V!$L:$L,0)),"")</f>
        <v/>
      </c>
      <c r="AJ196" s="460" t="str">
        <f t="shared" si="21"/>
        <v/>
      </c>
      <c r="AK196" s="459" t="str">
        <f>IFERROR(INDEX(V!$R:$R,MATCH(AL196,V!$L:$L,0)),"")</f>
        <v/>
      </c>
      <c r="AL196" s="460" t="str">
        <f t="shared" si="22"/>
        <v/>
      </c>
      <c r="AM196" s="459" t="str">
        <f>IFERROR(INDEX(V!$R:$R,MATCH(AN196,V!$L:$L,0)),"")</f>
        <v/>
      </c>
      <c r="AN196" s="460" t="str">
        <f t="shared" si="23"/>
        <v/>
      </c>
      <c r="AO196" s="459" t="str">
        <f>IFERROR(INDEX(V!$R:$R,MATCH(AP196,V!$L:$L,0)),"")</f>
        <v/>
      </c>
      <c r="AP196" s="460" t="str">
        <f t="shared" si="24"/>
        <v/>
      </c>
    </row>
    <row r="197" spans="1:42"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58">
        <f t="shared" si="25"/>
        <v>0</v>
      </c>
      <c r="AE197" s="459" t="str">
        <f>IFERROR(INDEX(V!$R:$R,MATCH(AF197,V!$L:$L,0)),"")</f>
        <v/>
      </c>
      <c r="AF197" s="460" t="str">
        <f t="shared" si="19"/>
        <v/>
      </c>
      <c r="AG197" s="459" t="str">
        <f>IFERROR(INDEX(V!$R:$R,MATCH(AH197,V!$L:$L,0)),"")</f>
        <v/>
      </c>
      <c r="AH197" s="460" t="str">
        <f t="shared" si="20"/>
        <v/>
      </c>
      <c r="AI197" s="459" t="str">
        <f>IFERROR(INDEX(V!$R:$R,MATCH(AJ197,V!$L:$L,0)),"")</f>
        <v/>
      </c>
      <c r="AJ197" s="460" t="str">
        <f t="shared" si="21"/>
        <v/>
      </c>
      <c r="AK197" s="459" t="str">
        <f>IFERROR(INDEX(V!$R:$R,MATCH(AL197,V!$L:$L,0)),"")</f>
        <v/>
      </c>
      <c r="AL197" s="460" t="str">
        <f t="shared" si="22"/>
        <v/>
      </c>
      <c r="AM197" s="459" t="str">
        <f>IFERROR(INDEX(V!$R:$R,MATCH(AN197,V!$L:$L,0)),"")</f>
        <v/>
      </c>
      <c r="AN197" s="460" t="str">
        <f t="shared" si="23"/>
        <v/>
      </c>
      <c r="AO197" s="459" t="str">
        <f>IFERROR(INDEX(V!$R:$R,MATCH(AP197,V!$L:$L,0)),"")</f>
        <v/>
      </c>
      <c r="AP197" s="460" t="str">
        <f t="shared" si="24"/>
        <v/>
      </c>
    </row>
    <row r="198" spans="1:42"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58">
        <f t="shared" si="25"/>
        <v>0</v>
      </c>
      <c r="AE198" s="459" t="str">
        <f>IFERROR(INDEX(V!$R:$R,MATCH(AF198,V!$L:$L,0)),"")</f>
        <v/>
      </c>
      <c r="AF198" s="460" t="str">
        <f t="shared" si="19"/>
        <v/>
      </c>
      <c r="AG198" s="459" t="str">
        <f>IFERROR(INDEX(V!$R:$R,MATCH(AH198,V!$L:$L,0)),"")</f>
        <v/>
      </c>
      <c r="AH198" s="460" t="str">
        <f t="shared" si="20"/>
        <v/>
      </c>
      <c r="AI198" s="459" t="str">
        <f>IFERROR(INDEX(V!$R:$R,MATCH(AJ198,V!$L:$L,0)),"")</f>
        <v/>
      </c>
      <c r="AJ198" s="460" t="str">
        <f t="shared" si="21"/>
        <v/>
      </c>
      <c r="AK198" s="459" t="str">
        <f>IFERROR(INDEX(V!$R:$R,MATCH(AL198,V!$L:$L,0)),"")</f>
        <v/>
      </c>
      <c r="AL198" s="460" t="str">
        <f t="shared" si="22"/>
        <v/>
      </c>
      <c r="AM198" s="459" t="str">
        <f>IFERROR(INDEX(V!$R:$R,MATCH(AN198,V!$L:$L,0)),"")</f>
        <v/>
      </c>
      <c r="AN198" s="460" t="str">
        <f t="shared" si="23"/>
        <v/>
      </c>
      <c r="AO198" s="459" t="str">
        <f>IFERROR(INDEX(V!$R:$R,MATCH(AP198,V!$L:$L,0)),"")</f>
        <v/>
      </c>
      <c r="AP198" s="460" t="str">
        <f t="shared" si="24"/>
        <v/>
      </c>
    </row>
    <row r="199" spans="1:42"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58">
        <f t="shared" si="25"/>
        <v>0</v>
      </c>
      <c r="AE199" s="459" t="str">
        <f>IFERROR(INDEX(V!$R:$R,MATCH(AF199,V!$L:$L,0)),"")</f>
        <v/>
      </c>
      <c r="AF199" s="460" t="str">
        <f t="shared" ref="AF199:AF262" si="26">IFERROR(LEFT($B199,(FIND(",",$B199,1)-1)),"")</f>
        <v/>
      </c>
      <c r="AG199" s="459" t="str">
        <f>IFERROR(INDEX(V!$R:$R,MATCH(AH199,V!$L:$L,0)),"")</f>
        <v/>
      </c>
      <c r="AH199" s="460" t="str">
        <f t="shared" ref="AH199:AH262" si="27">IFERROR(MID($B199,FIND(", ",$B199)+2,256),"")</f>
        <v/>
      </c>
      <c r="AI199" s="459" t="str">
        <f>IFERROR(INDEX(V!$R:$R,MATCH(AJ199,V!$L:$L,0)),"")</f>
        <v/>
      </c>
      <c r="AJ199" s="460" t="str">
        <f t="shared" ref="AJ199:AJ262" si="28">IFERROR(MID($B199,FIND("^",SUBSTITUTE($B199,", ","^",1))+2,FIND("^",SUBSTITUTE($B199,", ","^",2))-FIND("^",SUBSTITUTE($B199,", ","^",1))-2),"")</f>
        <v/>
      </c>
      <c r="AK199" s="459" t="str">
        <f>IFERROR(INDEX(V!$R:$R,MATCH(AL199,V!$L:$L,0)),"")</f>
        <v/>
      </c>
      <c r="AL199" s="460" t="str">
        <f t="shared" ref="AL199:AL262" si="29">IFERROR(MID($B199,FIND(", ",$B199,FIND(", ",$B199,FIND(", ",$B199))+1)+2,30000),"")</f>
        <v/>
      </c>
      <c r="AM199" s="459" t="str">
        <f>IFERROR(INDEX(V!$R:$R,MATCH(AN199,V!$L:$L,0)),"")</f>
        <v/>
      </c>
      <c r="AN199" s="460" t="str">
        <f t="shared" ref="AN199:AN262" si="30">IFERROR(MID($B199,FIND(", ",$B199,FIND(", ",$B199)+1)+2,FIND(", ",$B199,FIND(", ",$B199,FIND(", ",$B199)+1)+1)-FIND(", ",$B199,FIND(", ",$B199)+1)-2),"")</f>
        <v/>
      </c>
      <c r="AO199" s="459" t="str">
        <f>IFERROR(INDEX(V!$R:$R,MATCH(AP199,V!$L:$L,0)),"")</f>
        <v/>
      </c>
      <c r="AP199" s="460" t="str">
        <f t="shared" ref="AP199:AP262" si="31">IFERROR(MID($B199,FIND(", ",$B199,FIND(", ",$B199,FIND(", ",$B199)+1)+1)+2,30000),"")</f>
        <v/>
      </c>
    </row>
    <row r="200" spans="1:42"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58">
        <f t="shared" si="25"/>
        <v>0</v>
      </c>
      <c r="AE200" s="459" t="str">
        <f>IFERROR(INDEX(V!$R:$R,MATCH(AF200,V!$L:$L,0)),"")</f>
        <v/>
      </c>
      <c r="AF200" s="460" t="str">
        <f t="shared" si="26"/>
        <v/>
      </c>
      <c r="AG200" s="459" t="str">
        <f>IFERROR(INDEX(V!$R:$R,MATCH(AH200,V!$L:$L,0)),"")</f>
        <v/>
      </c>
      <c r="AH200" s="460" t="str">
        <f t="shared" si="27"/>
        <v/>
      </c>
      <c r="AI200" s="459" t="str">
        <f>IFERROR(INDEX(V!$R:$R,MATCH(AJ200,V!$L:$L,0)),"")</f>
        <v/>
      </c>
      <c r="AJ200" s="460" t="str">
        <f t="shared" si="28"/>
        <v/>
      </c>
      <c r="AK200" s="459" t="str">
        <f>IFERROR(INDEX(V!$R:$R,MATCH(AL200,V!$L:$L,0)),"")</f>
        <v/>
      </c>
      <c r="AL200" s="460" t="str">
        <f t="shared" si="29"/>
        <v/>
      </c>
      <c r="AM200" s="459" t="str">
        <f>IFERROR(INDEX(V!$R:$R,MATCH(AN200,V!$L:$L,0)),"")</f>
        <v/>
      </c>
      <c r="AN200" s="460" t="str">
        <f t="shared" si="30"/>
        <v/>
      </c>
      <c r="AO200" s="459" t="str">
        <f>IFERROR(INDEX(V!$R:$R,MATCH(AP200,V!$L:$L,0)),"")</f>
        <v/>
      </c>
      <c r="AP200" s="460" t="str">
        <f t="shared" si="31"/>
        <v/>
      </c>
    </row>
    <row r="201" spans="1:42"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58">
        <f t="shared" si="25"/>
        <v>0</v>
      </c>
      <c r="AE201" s="459" t="str">
        <f>IFERROR(INDEX(V!$R:$R,MATCH(AF201,V!$L:$L,0)),"")</f>
        <v/>
      </c>
      <c r="AF201" s="460" t="str">
        <f t="shared" si="26"/>
        <v/>
      </c>
      <c r="AG201" s="459" t="str">
        <f>IFERROR(INDEX(V!$R:$R,MATCH(AH201,V!$L:$L,0)),"")</f>
        <v/>
      </c>
      <c r="AH201" s="460" t="str">
        <f t="shared" si="27"/>
        <v/>
      </c>
      <c r="AI201" s="459" t="str">
        <f>IFERROR(INDEX(V!$R:$R,MATCH(AJ201,V!$L:$L,0)),"")</f>
        <v/>
      </c>
      <c r="AJ201" s="460" t="str">
        <f t="shared" si="28"/>
        <v/>
      </c>
      <c r="AK201" s="459" t="str">
        <f>IFERROR(INDEX(V!$R:$R,MATCH(AL201,V!$L:$L,0)),"")</f>
        <v/>
      </c>
      <c r="AL201" s="460" t="str">
        <f t="shared" si="29"/>
        <v/>
      </c>
      <c r="AM201" s="459" t="str">
        <f>IFERROR(INDEX(V!$R:$R,MATCH(AN201,V!$L:$L,0)),"")</f>
        <v/>
      </c>
      <c r="AN201" s="460" t="str">
        <f t="shared" si="30"/>
        <v/>
      </c>
      <c r="AO201" s="459" t="str">
        <f>IFERROR(INDEX(V!$R:$R,MATCH(AP201,V!$L:$L,0)),"")</f>
        <v/>
      </c>
      <c r="AP201" s="460" t="str">
        <f t="shared" si="31"/>
        <v/>
      </c>
    </row>
    <row r="202" spans="1:42"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58">
        <f t="shared" si="25"/>
        <v>0</v>
      </c>
      <c r="AE202" s="459" t="str">
        <f>IFERROR(INDEX(V!$R:$R,MATCH(AF202,V!$L:$L,0)),"")</f>
        <v/>
      </c>
      <c r="AF202" s="460" t="str">
        <f t="shared" si="26"/>
        <v/>
      </c>
      <c r="AG202" s="459" t="str">
        <f>IFERROR(INDEX(V!$R:$R,MATCH(AH202,V!$L:$L,0)),"")</f>
        <v/>
      </c>
      <c r="AH202" s="460" t="str">
        <f t="shared" si="27"/>
        <v/>
      </c>
      <c r="AI202" s="459" t="str">
        <f>IFERROR(INDEX(V!$R:$R,MATCH(AJ202,V!$L:$L,0)),"")</f>
        <v/>
      </c>
      <c r="AJ202" s="460" t="str">
        <f t="shared" si="28"/>
        <v/>
      </c>
      <c r="AK202" s="459" t="str">
        <f>IFERROR(INDEX(V!$R:$R,MATCH(AL202,V!$L:$L,0)),"")</f>
        <v/>
      </c>
      <c r="AL202" s="460" t="str">
        <f t="shared" si="29"/>
        <v/>
      </c>
      <c r="AM202" s="459" t="str">
        <f>IFERROR(INDEX(V!$R:$R,MATCH(AN202,V!$L:$L,0)),"")</f>
        <v/>
      </c>
      <c r="AN202" s="460" t="str">
        <f t="shared" si="30"/>
        <v/>
      </c>
      <c r="AO202" s="459" t="str">
        <f>IFERROR(INDEX(V!$R:$R,MATCH(AP202,V!$L:$L,0)),"")</f>
        <v/>
      </c>
      <c r="AP202" s="460" t="str">
        <f t="shared" si="31"/>
        <v/>
      </c>
    </row>
    <row r="203" spans="1:42"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58">
        <f t="shared" si="25"/>
        <v>0</v>
      </c>
      <c r="AE203" s="459" t="str">
        <f>IFERROR(INDEX(V!$R:$R,MATCH(AF203,V!$L:$L,0)),"")</f>
        <v/>
      </c>
      <c r="AF203" s="460" t="str">
        <f t="shared" si="26"/>
        <v/>
      </c>
      <c r="AG203" s="459" t="str">
        <f>IFERROR(INDEX(V!$R:$R,MATCH(AH203,V!$L:$L,0)),"")</f>
        <v/>
      </c>
      <c r="AH203" s="460" t="str">
        <f t="shared" si="27"/>
        <v/>
      </c>
      <c r="AI203" s="459" t="str">
        <f>IFERROR(INDEX(V!$R:$R,MATCH(AJ203,V!$L:$L,0)),"")</f>
        <v/>
      </c>
      <c r="AJ203" s="460" t="str">
        <f t="shared" si="28"/>
        <v/>
      </c>
      <c r="AK203" s="459" t="str">
        <f>IFERROR(INDEX(V!$R:$R,MATCH(AL203,V!$L:$L,0)),"")</f>
        <v/>
      </c>
      <c r="AL203" s="460" t="str">
        <f t="shared" si="29"/>
        <v/>
      </c>
      <c r="AM203" s="459" t="str">
        <f>IFERROR(INDEX(V!$R:$R,MATCH(AN203,V!$L:$L,0)),"")</f>
        <v/>
      </c>
      <c r="AN203" s="460" t="str">
        <f t="shared" si="30"/>
        <v/>
      </c>
      <c r="AO203" s="459" t="str">
        <f>IFERROR(INDEX(V!$R:$R,MATCH(AP203,V!$L:$L,0)),"")</f>
        <v/>
      </c>
      <c r="AP203" s="460" t="str">
        <f t="shared" si="31"/>
        <v/>
      </c>
    </row>
    <row r="204" spans="1:42"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58">
        <f t="shared" si="25"/>
        <v>0</v>
      </c>
      <c r="AE204" s="459" t="str">
        <f>IFERROR(INDEX(V!$R:$R,MATCH(AF204,V!$L:$L,0)),"")</f>
        <v/>
      </c>
      <c r="AF204" s="460" t="str">
        <f t="shared" si="26"/>
        <v/>
      </c>
      <c r="AG204" s="459" t="str">
        <f>IFERROR(INDEX(V!$R:$R,MATCH(AH204,V!$L:$L,0)),"")</f>
        <v/>
      </c>
      <c r="AH204" s="460" t="str">
        <f t="shared" si="27"/>
        <v/>
      </c>
      <c r="AI204" s="459" t="str">
        <f>IFERROR(INDEX(V!$R:$R,MATCH(AJ204,V!$L:$L,0)),"")</f>
        <v/>
      </c>
      <c r="AJ204" s="460" t="str">
        <f t="shared" si="28"/>
        <v/>
      </c>
      <c r="AK204" s="459" t="str">
        <f>IFERROR(INDEX(V!$R:$R,MATCH(AL204,V!$L:$L,0)),"")</f>
        <v/>
      </c>
      <c r="AL204" s="460" t="str">
        <f t="shared" si="29"/>
        <v/>
      </c>
      <c r="AM204" s="459" t="str">
        <f>IFERROR(INDEX(V!$R:$R,MATCH(AN204,V!$L:$L,0)),"")</f>
        <v/>
      </c>
      <c r="AN204" s="460" t="str">
        <f t="shared" si="30"/>
        <v/>
      </c>
      <c r="AO204" s="459" t="str">
        <f>IFERROR(INDEX(V!$R:$R,MATCH(AP204,V!$L:$L,0)),"")</f>
        <v/>
      </c>
      <c r="AP204" s="460" t="str">
        <f t="shared" si="31"/>
        <v/>
      </c>
    </row>
    <row r="205" spans="1:42"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58">
        <f t="shared" si="25"/>
        <v>0</v>
      </c>
      <c r="AE205" s="459" t="str">
        <f>IFERROR(INDEX(V!$R:$R,MATCH(AF205,V!$L:$L,0)),"")</f>
        <v/>
      </c>
      <c r="AF205" s="460" t="str">
        <f t="shared" si="26"/>
        <v/>
      </c>
      <c r="AG205" s="459" t="str">
        <f>IFERROR(INDEX(V!$R:$R,MATCH(AH205,V!$L:$L,0)),"")</f>
        <v/>
      </c>
      <c r="AH205" s="460" t="str">
        <f t="shared" si="27"/>
        <v/>
      </c>
      <c r="AI205" s="459" t="str">
        <f>IFERROR(INDEX(V!$R:$R,MATCH(AJ205,V!$L:$L,0)),"")</f>
        <v/>
      </c>
      <c r="AJ205" s="460" t="str">
        <f t="shared" si="28"/>
        <v/>
      </c>
      <c r="AK205" s="459" t="str">
        <f>IFERROR(INDEX(V!$R:$R,MATCH(AL205,V!$L:$L,0)),"")</f>
        <v/>
      </c>
      <c r="AL205" s="460" t="str">
        <f t="shared" si="29"/>
        <v/>
      </c>
      <c r="AM205" s="459" t="str">
        <f>IFERROR(INDEX(V!$R:$R,MATCH(AN205,V!$L:$L,0)),"")</f>
        <v/>
      </c>
      <c r="AN205" s="460" t="str">
        <f t="shared" si="30"/>
        <v/>
      </c>
      <c r="AO205" s="459" t="str">
        <f>IFERROR(INDEX(V!$R:$R,MATCH(AP205,V!$L:$L,0)),"")</f>
        <v/>
      </c>
      <c r="AP205" s="460" t="str">
        <f t="shared" si="31"/>
        <v/>
      </c>
    </row>
    <row r="206" spans="1:42"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58">
        <f t="shared" si="25"/>
        <v>0</v>
      </c>
      <c r="AE206" s="459" t="str">
        <f>IFERROR(INDEX(V!$R:$R,MATCH(AF206,V!$L:$L,0)),"")</f>
        <v/>
      </c>
      <c r="AF206" s="460" t="str">
        <f t="shared" si="26"/>
        <v/>
      </c>
      <c r="AG206" s="459" t="str">
        <f>IFERROR(INDEX(V!$R:$R,MATCH(AH206,V!$L:$L,0)),"")</f>
        <v/>
      </c>
      <c r="AH206" s="460" t="str">
        <f t="shared" si="27"/>
        <v/>
      </c>
      <c r="AI206" s="459" t="str">
        <f>IFERROR(INDEX(V!$R:$R,MATCH(AJ206,V!$L:$L,0)),"")</f>
        <v/>
      </c>
      <c r="AJ206" s="460" t="str">
        <f t="shared" si="28"/>
        <v/>
      </c>
      <c r="AK206" s="459" t="str">
        <f>IFERROR(INDEX(V!$R:$R,MATCH(AL206,V!$L:$L,0)),"")</f>
        <v/>
      </c>
      <c r="AL206" s="460" t="str">
        <f t="shared" si="29"/>
        <v/>
      </c>
      <c r="AM206" s="459" t="str">
        <f>IFERROR(INDEX(V!$R:$R,MATCH(AN206,V!$L:$L,0)),"")</f>
        <v/>
      </c>
      <c r="AN206" s="460" t="str">
        <f t="shared" si="30"/>
        <v/>
      </c>
      <c r="AO206" s="459" t="str">
        <f>IFERROR(INDEX(V!$R:$R,MATCH(AP206,V!$L:$L,0)),"")</f>
        <v/>
      </c>
      <c r="AP206" s="460" t="str">
        <f t="shared" si="31"/>
        <v/>
      </c>
    </row>
    <row r="207" spans="1:42"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58">
        <f t="shared" si="25"/>
        <v>0</v>
      </c>
      <c r="AE207" s="459" t="str">
        <f>IFERROR(INDEX(V!$R:$R,MATCH(AF207,V!$L:$L,0)),"")</f>
        <v/>
      </c>
      <c r="AF207" s="460" t="str">
        <f t="shared" si="26"/>
        <v/>
      </c>
      <c r="AG207" s="459" t="str">
        <f>IFERROR(INDEX(V!$R:$R,MATCH(AH207,V!$L:$L,0)),"")</f>
        <v/>
      </c>
      <c r="AH207" s="460" t="str">
        <f t="shared" si="27"/>
        <v/>
      </c>
      <c r="AI207" s="459" t="str">
        <f>IFERROR(INDEX(V!$R:$R,MATCH(AJ207,V!$L:$L,0)),"")</f>
        <v/>
      </c>
      <c r="AJ207" s="460" t="str">
        <f t="shared" si="28"/>
        <v/>
      </c>
      <c r="AK207" s="459" t="str">
        <f>IFERROR(INDEX(V!$R:$R,MATCH(AL207,V!$L:$L,0)),"")</f>
        <v/>
      </c>
      <c r="AL207" s="460" t="str">
        <f t="shared" si="29"/>
        <v/>
      </c>
      <c r="AM207" s="459" t="str">
        <f>IFERROR(INDEX(V!$R:$R,MATCH(AN207,V!$L:$L,0)),"")</f>
        <v/>
      </c>
      <c r="AN207" s="460" t="str">
        <f t="shared" si="30"/>
        <v/>
      </c>
      <c r="AO207" s="459" t="str">
        <f>IFERROR(INDEX(V!$R:$R,MATCH(AP207,V!$L:$L,0)),"")</f>
        <v/>
      </c>
      <c r="AP207" s="460" t="str">
        <f t="shared" si="31"/>
        <v/>
      </c>
    </row>
    <row r="208" spans="1:42"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58">
        <f t="shared" si="25"/>
        <v>0</v>
      </c>
      <c r="AE208" s="459" t="str">
        <f>IFERROR(INDEX(V!$R:$R,MATCH(AF208,V!$L:$L,0)),"")</f>
        <v/>
      </c>
      <c r="AF208" s="460" t="str">
        <f t="shared" si="26"/>
        <v/>
      </c>
      <c r="AG208" s="459" t="str">
        <f>IFERROR(INDEX(V!$R:$R,MATCH(AH208,V!$L:$L,0)),"")</f>
        <v/>
      </c>
      <c r="AH208" s="460" t="str">
        <f t="shared" si="27"/>
        <v/>
      </c>
      <c r="AI208" s="459" t="str">
        <f>IFERROR(INDEX(V!$R:$R,MATCH(AJ208,V!$L:$L,0)),"")</f>
        <v/>
      </c>
      <c r="AJ208" s="460" t="str">
        <f t="shared" si="28"/>
        <v/>
      </c>
      <c r="AK208" s="459" t="str">
        <f>IFERROR(INDEX(V!$R:$R,MATCH(AL208,V!$L:$L,0)),"")</f>
        <v/>
      </c>
      <c r="AL208" s="460" t="str">
        <f t="shared" si="29"/>
        <v/>
      </c>
      <c r="AM208" s="459" t="str">
        <f>IFERROR(INDEX(V!$R:$R,MATCH(AN208,V!$L:$L,0)),"")</f>
        <v/>
      </c>
      <c r="AN208" s="460" t="str">
        <f t="shared" si="30"/>
        <v/>
      </c>
      <c r="AO208" s="459" t="str">
        <f>IFERROR(INDEX(V!$R:$R,MATCH(AP208,V!$L:$L,0)),"")</f>
        <v/>
      </c>
      <c r="AP208" s="460" t="str">
        <f t="shared" si="31"/>
        <v/>
      </c>
    </row>
    <row r="209" spans="1:42"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58">
        <f t="shared" si="25"/>
        <v>0</v>
      </c>
      <c r="AE209" s="459" t="str">
        <f>IFERROR(INDEX(V!$R:$R,MATCH(AF209,V!$L:$L,0)),"")</f>
        <v/>
      </c>
      <c r="AF209" s="460" t="str">
        <f t="shared" si="26"/>
        <v/>
      </c>
      <c r="AG209" s="459" t="str">
        <f>IFERROR(INDEX(V!$R:$R,MATCH(AH209,V!$L:$L,0)),"")</f>
        <v/>
      </c>
      <c r="AH209" s="460" t="str">
        <f t="shared" si="27"/>
        <v/>
      </c>
      <c r="AI209" s="459" t="str">
        <f>IFERROR(INDEX(V!$R:$R,MATCH(AJ209,V!$L:$L,0)),"")</f>
        <v/>
      </c>
      <c r="AJ209" s="460" t="str">
        <f t="shared" si="28"/>
        <v/>
      </c>
      <c r="AK209" s="459" t="str">
        <f>IFERROR(INDEX(V!$R:$R,MATCH(AL209,V!$L:$L,0)),"")</f>
        <v/>
      </c>
      <c r="AL209" s="460" t="str">
        <f t="shared" si="29"/>
        <v/>
      </c>
      <c r="AM209" s="459" t="str">
        <f>IFERROR(INDEX(V!$R:$R,MATCH(AN209,V!$L:$L,0)),"")</f>
        <v/>
      </c>
      <c r="AN209" s="460" t="str">
        <f t="shared" si="30"/>
        <v/>
      </c>
      <c r="AO209" s="459" t="str">
        <f>IFERROR(INDEX(V!$R:$R,MATCH(AP209,V!$L:$L,0)),"")</f>
        <v/>
      </c>
      <c r="AP209" s="460" t="str">
        <f t="shared" si="31"/>
        <v/>
      </c>
    </row>
    <row r="210" spans="1:42"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58">
        <f t="shared" si="25"/>
        <v>0</v>
      </c>
      <c r="AE210" s="459" t="str">
        <f>IFERROR(INDEX(V!$R:$R,MATCH(AF210,V!$L:$L,0)),"")</f>
        <v/>
      </c>
      <c r="AF210" s="460" t="str">
        <f t="shared" si="26"/>
        <v/>
      </c>
      <c r="AG210" s="459" t="str">
        <f>IFERROR(INDEX(V!$R:$R,MATCH(AH210,V!$L:$L,0)),"")</f>
        <v/>
      </c>
      <c r="AH210" s="460" t="str">
        <f t="shared" si="27"/>
        <v/>
      </c>
      <c r="AI210" s="459" t="str">
        <f>IFERROR(INDEX(V!$R:$R,MATCH(AJ210,V!$L:$L,0)),"")</f>
        <v/>
      </c>
      <c r="AJ210" s="460" t="str">
        <f t="shared" si="28"/>
        <v/>
      </c>
      <c r="AK210" s="459" t="str">
        <f>IFERROR(INDEX(V!$R:$R,MATCH(AL210,V!$L:$L,0)),"")</f>
        <v/>
      </c>
      <c r="AL210" s="460" t="str">
        <f t="shared" si="29"/>
        <v/>
      </c>
      <c r="AM210" s="459" t="str">
        <f>IFERROR(INDEX(V!$R:$R,MATCH(AN210,V!$L:$L,0)),"")</f>
        <v/>
      </c>
      <c r="AN210" s="460" t="str">
        <f t="shared" si="30"/>
        <v/>
      </c>
      <c r="AO210" s="459" t="str">
        <f>IFERROR(INDEX(V!$R:$R,MATCH(AP210,V!$L:$L,0)),"")</f>
        <v/>
      </c>
      <c r="AP210" s="460" t="str">
        <f t="shared" si="31"/>
        <v/>
      </c>
    </row>
    <row r="211" spans="1:42"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58">
        <f t="shared" ref="AD211:AD274" si="32">SUM(AE211:AP211)</f>
        <v>0</v>
      </c>
      <c r="AE211" s="459" t="str">
        <f>IFERROR(INDEX(V!$R:$R,MATCH(AF211,V!$L:$L,0)),"")</f>
        <v/>
      </c>
      <c r="AF211" s="460" t="str">
        <f t="shared" si="26"/>
        <v/>
      </c>
      <c r="AG211" s="459" t="str">
        <f>IFERROR(INDEX(V!$R:$R,MATCH(AH211,V!$L:$L,0)),"")</f>
        <v/>
      </c>
      <c r="AH211" s="460" t="str">
        <f t="shared" si="27"/>
        <v/>
      </c>
      <c r="AI211" s="459" t="str">
        <f>IFERROR(INDEX(V!$R:$R,MATCH(AJ211,V!$L:$L,0)),"")</f>
        <v/>
      </c>
      <c r="AJ211" s="460" t="str">
        <f t="shared" si="28"/>
        <v/>
      </c>
      <c r="AK211" s="459" t="str">
        <f>IFERROR(INDEX(V!$R:$R,MATCH(AL211,V!$L:$L,0)),"")</f>
        <v/>
      </c>
      <c r="AL211" s="460" t="str">
        <f t="shared" si="29"/>
        <v/>
      </c>
      <c r="AM211" s="459" t="str">
        <f>IFERROR(INDEX(V!$R:$R,MATCH(AN211,V!$L:$L,0)),"")</f>
        <v/>
      </c>
      <c r="AN211" s="460" t="str">
        <f t="shared" si="30"/>
        <v/>
      </c>
      <c r="AO211" s="459" t="str">
        <f>IFERROR(INDEX(V!$R:$R,MATCH(AP211,V!$L:$L,0)),"")</f>
        <v/>
      </c>
      <c r="AP211" s="460" t="str">
        <f t="shared" si="31"/>
        <v/>
      </c>
    </row>
    <row r="212" spans="1:42"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58">
        <f t="shared" si="32"/>
        <v>0</v>
      </c>
      <c r="AE212" s="459" t="str">
        <f>IFERROR(INDEX(V!$R:$R,MATCH(AF212,V!$L:$L,0)),"")</f>
        <v/>
      </c>
      <c r="AF212" s="460" t="str">
        <f t="shared" si="26"/>
        <v/>
      </c>
      <c r="AG212" s="459" t="str">
        <f>IFERROR(INDEX(V!$R:$R,MATCH(AH212,V!$L:$L,0)),"")</f>
        <v/>
      </c>
      <c r="AH212" s="460" t="str">
        <f t="shared" si="27"/>
        <v/>
      </c>
      <c r="AI212" s="459" t="str">
        <f>IFERROR(INDEX(V!$R:$R,MATCH(AJ212,V!$L:$L,0)),"")</f>
        <v/>
      </c>
      <c r="AJ212" s="460" t="str">
        <f t="shared" si="28"/>
        <v/>
      </c>
      <c r="AK212" s="459" t="str">
        <f>IFERROR(INDEX(V!$R:$R,MATCH(AL212,V!$L:$L,0)),"")</f>
        <v/>
      </c>
      <c r="AL212" s="460" t="str">
        <f t="shared" si="29"/>
        <v/>
      </c>
      <c r="AM212" s="459" t="str">
        <f>IFERROR(INDEX(V!$R:$R,MATCH(AN212,V!$L:$L,0)),"")</f>
        <v/>
      </c>
      <c r="AN212" s="460" t="str">
        <f t="shared" si="30"/>
        <v/>
      </c>
      <c r="AO212" s="459" t="str">
        <f>IFERROR(INDEX(V!$R:$R,MATCH(AP212,V!$L:$L,0)),"")</f>
        <v/>
      </c>
      <c r="AP212" s="460" t="str">
        <f t="shared" si="31"/>
        <v/>
      </c>
    </row>
    <row r="213" spans="1:42"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58">
        <f t="shared" si="32"/>
        <v>0</v>
      </c>
      <c r="AE213" s="459" t="str">
        <f>IFERROR(INDEX(V!$R:$R,MATCH(AF213,V!$L:$L,0)),"")</f>
        <v/>
      </c>
      <c r="AF213" s="460" t="str">
        <f t="shared" si="26"/>
        <v/>
      </c>
      <c r="AG213" s="459" t="str">
        <f>IFERROR(INDEX(V!$R:$R,MATCH(AH213,V!$L:$L,0)),"")</f>
        <v/>
      </c>
      <c r="AH213" s="460" t="str">
        <f t="shared" si="27"/>
        <v/>
      </c>
      <c r="AI213" s="459" t="str">
        <f>IFERROR(INDEX(V!$R:$R,MATCH(AJ213,V!$L:$L,0)),"")</f>
        <v/>
      </c>
      <c r="AJ213" s="460" t="str">
        <f t="shared" si="28"/>
        <v/>
      </c>
      <c r="AK213" s="459" t="str">
        <f>IFERROR(INDEX(V!$R:$R,MATCH(AL213,V!$L:$L,0)),"")</f>
        <v/>
      </c>
      <c r="AL213" s="460" t="str">
        <f t="shared" si="29"/>
        <v/>
      </c>
      <c r="AM213" s="459" t="str">
        <f>IFERROR(INDEX(V!$R:$R,MATCH(AN213,V!$L:$L,0)),"")</f>
        <v/>
      </c>
      <c r="AN213" s="460" t="str">
        <f t="shared" si="30"/>
        <v/>
      </c>
      <c r="AO213" s="459" t="str">
        <f>IFERROR(INDEX(V!$R:$R,MATCH(AP213,V!$L:$L,0)),"")</f>
        <v/>
      </c>
      <c r="AP213" s="460" t="str">
        <f t="shared" si="31"/>
        <v/>
      </c>
    </row>
    <row r="214" spans="1:42"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58">
        <f t="shared" si="32"/>
        <v>0</v>
      </c>
      <c r="AE214" s="459" t="str">
        <f>IFERROR(INDEX(V!$R:$R,MATCH(AF214,V!$L:$L,0)),"")</f>
        <v/>
      </c>
      <c r="AF214" s="460" t="str">
        <f t="shared" si="26"/>
        <v/>
      </c>
      <c r="AG214" s="459" t="str">
        <f>IFERROR(INDEX(V!$R:$R,MATCH(AH214,V!$L:$L,0)),"")</f>
        <v/>
      </c>
      <c r="AH214" s="460" t="str">
        <f t="shared" si="27"/>
        <v/>
      </c>
      <c r="AI214" s="459" t="str">
        <f>IFERROR(INDEX(V!$R:$R,MATCH(AJ214,V!$L:$L,0)),"")</f>
        <v/>
      </c>
      <c r="AJ214" s="460" t="str">
        <f t="shared" si="28"/>
        <v/>
      </c>
      <c r="AK214" s="459" t="str">
        <f>IFERROR(INDEX(V!$R:$R,MATCH(AL214,V!$L:$L,0)),"")</f>
        <v/>
      </c>
      <c r="AL214" s="460" t="str">
        <f t="shared" si="29"/>
        <v/>
      </c>
      <c r="AM214" s="459" t="str">
        <f>IFERROR(INDEX(V!$R:$R,MATCH(AN214,V!$L:$L,0)),"")</f>
        <v/>
      </c>
      <c r="AN214" s="460" t="str">
        <f t="shared" si="30"/>
        <v/>
      </c>
      <c r="AO214" s="459" t="str">
        <f>IFERROR(INDEX(V!$R:$R,MATCH(AP214,V!$L:$L,0)),"")</f>
        <v/>
      </c>
      <c r="AP214" s="460" t="str">
        <f t="shared" si="31"/>
        <v/>
      </c>
    </row>
    <row r="215" spans="1:42"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58">
        <f t="shared" si="32"/>
        <v>0</v>
      </c>
      <c r="AE215" s="459" t="str">
        <f>IFERROR(INDEX(V!$R:$R,MATCH(AF215,V!$L:$L,0)),"")</f>
        <v/>
      </c>
      <c r="AF215" s="460" t="str">
        <f t="shared" si="26"/>
        <v/>
      </c>
      <c r="AG215" s="459" t="str">
        <f>IFERROR(INDEX(V!$R:$R,MATCH(AH215,V!$L:$L,0)),"")</f>
        <v/>
      </c>
      <c r="AH215" s="460" t="str">
        <f t="shared" si="27"/>
        <v/>
      </c>
      <c r="AI215" s="459" t="str">
        <f>IFERROR(INDEX(V!$R:$R,MATCH(AJ215,V!$L:$L,0)),"")</f>
        <v/>
      </c>
      <c r="AJ215" s="460" t="str">
        <f t="shared" si="28"/>
        <v/>
      </c>
      <c r="AK215" s="459" t="str">
        <f>IFERROR(INDEX(V!$R:$R,MATCH(AL215,V!$L:$L,0)),"")</f>
        <v/>
      </c>
      <c r="AL215" s="460" t="str">
        <f t="shared" si="29"/>
        <v/>
      </c>
      <c r="AM215" s="459" t="str">
        <f>IFERROR(INDEX(V!$R:$R,MATCH(AN215,V!$L:$L,0)),"")</f>
        <v/>
      </c>
      <c r="AN215" s="460" t="str">
        <f t="shared" si="30"/>
        <v/>
      </c>
      <c r="AO215" s="459" t="str">
        <f>IFERROR(INDEX(V!$R:$R,MATCH(AP215,V!$L:$L,0)),"")</f>
        <v/>
      </c>
      <c r="AP215" s="460" t="str">
        <f t="shared" si="31"/>
        <v/>
      </c>
    </row>
    <row r="216" spans="1:42"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58">
        <f t="shared" si="32"/>
        <v>0</v>
      </c>
      <c r="AE216" s="459" t="str">
        <f>IFERROR(INDEX(V!$R:$R,MATCH(AF216,V!$L:$L,0)),"")</f>
        <v/>
      </c>
      <c r="AF216" s="460" t="str">
        <f t="shared" si="26"/>
        <v/>
      </c>
      <c r="AG216" s="459" t="str">
        <f>IFERROR(INDEX(V!$R:$R,MATCH(AH216,V!$L:$L,0)),"")</f>
        <v/>
      </c>
      <c r="AH216" s="460" t="str">
        <f t="shared" si="27"/>
        <v/>
      </c>
      <c r="AI216" s="459" t="str">
        <f>IFERROR(INDEX(V!$R:$R,MATCH(AJ216,V!$L:$L,0)),"")</f>
        <v/>
      </c>
      <c r="AJ216" s="460" t="str">
        <f t="shared" si="28"/>
        <v/>
      </c>
      <c r="AK216" s="459" t="str">
        <f>IFERROR(INDEX(V!$R:$R,MATCH(AL216,V!$L:$L,0)),"")</f>
        <v/>
      </c>
      <c r="AL216" s="460" t="str">
        <f t="shared" si="29"/>
        <v/>
      </c>
      <c r="AM216" s="459" t="str">
        <f>IFERROR(INDEX(V!$R:$R,MATCH(AN216,V!$L:$L,0)),"")</f>
        <v/>
      </c>
      <c r="AN216" s="460" t="str">
        <f t="shared" si="30"/>
        <v/>
      </c>
      <c r="AO216" s="459" t="str">
        <f>IFERROR(INDEX(V!$R:$R,MATCH(AP216,V!$L:$L,0)),"")</f>
        <v/>
      </c>
      <c r="AP216" s="460" t="str">
        <f t="shared" si="31"/>
        <v/>
      </c>
    </row>
    <row r="217" spans="1:42"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58">
        <f t="shared" si="32"/>
        <v>0</v>
      </c>
      <c r="AE217" s="459" t="str">
        <f>IFERROR(INDEX(V!$R:$R,MATCH(AF217,V!$L:$L,0)),"")</f>
        <v/>
      </c>
      <c r="AF217" s="460" t="str">
        <f t="shared" si="26"/>
        <v/>
      </c>
      <c r="AG217" s="459" t="str">
        <f>IFERROR(INDEX(V!$R:$R,MATCH(AH217,V!$L:$L,0)),"")</f>
        <v/>
      </c>
      <c r="AH217" s="460" t="str">
        <f t="shared" si="27"/>
        <v/>
      </c>
      <c r="AI217" s="459" t="str">
        <f>IFERROR(INDEX(V!$R:$R,MATCH(AJ217,V!$L:$L,0)),"")</f>
        <v/>
      </c>
      <c r="AJ217" s="460" t="str">
        <f t="shared" si="28"/>
        <v/>
      </c>
      <c r="AK217" s="459" t="str">
        <f>IFERROR(INDEX(V!$R:$R,MATCH(AL217,V!$L:$L,0)),"")</f>
        <v/>
      </c>
      <c r="AL217" s="460" t="str">
        <f t="shared" si="29"/>
        <v/>
      </c>
      <c r="AM217" s="459" t="str">
        <f>IFERROR(INDEX(V!$R:$R,MATCH(AN217,V!$L:$L,0)),"")</f>
        <v/>
      </c>
      <c r="AN217" s="460" t="str">
        <f t="shared" si="30"/>
        <v/>
      </c>
      <c r="AO217" s="459" t="str">
        <f>IFERROR(INDEX(V!$R:$R,MATCH(AP217,V!$L:$L,0)),"")</f>
        <v/>
      </c>
      <c r="AP217" s="460" t="str">
        <f t="shared" si="31"/>
        <v/>
      </c>
    </row>
    <row r="218" spans="1:42"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58">
        <f t="shared" si="32"/>
        <v>0</v>
      </c>
      <c r="AE218" s="459" t="str">
        <f>IFERROR(INDEX(V!$R:$R,MATCH(AF218,V!$L:$L,0)),"")</f>
        <v/>
      </c>
      <c r="AF218" s="460" t="str">
        <f t="shared" si="26"/>
        <v/>
      </c>
      <c r="AG218" s="459" t="str">
        <f>IFERROR(INDEX(V!$R:$R,MATCH(AH218,V!$L:$L,0)),"")</f>
        <v/>
      </c>
      <c r="AH218" s="460" t="str">
        <f t="shared" si="27"/>
        <v/>
      </c>
      <c r="AI218" s="459" t="str">
        <f>IFERROR(INDEX(V!$R:$R,MATCH(AJ218,V!$L:$L,0)),"")</f>
        <v/>
      </c>
      <c r="AJ218" s="460" t="str">
        <f t="shared" si="28"/>
        <v/>
      </c>
      <c r="AK218" s="459" t="str">
        <f>IFERROR(INDEX(V!$R:$R,MATCH(AL218,V!$L:$L,0)),"")</f>
        <v/>
      </c>
      <c r="AL218" s="460" t="str">
        <f t="shared" si="29"/>
        <v/>
      </c>
      <c r="AM218" s="459" t="str">
        <f>IFERROR(INDEX(V!$R:$R,MATCH(AN218,V!$L:$L,0)),"")</f>
        <v/>
      </c>
      <c r="AN218" s="460" t="str">
        <f t="shared" si="30"/>
        <v/>
      </c>
      <c r="AO218" s="459" t="str">
        <f>IFERROR(INDEX(V!$R:$R,MATCH(AP218,V!$L:$L,0)),"")</f>
        <v/>
      </c>
      <c r="AP218" s="460" t="str">
        <f t="shared" si="31"/>
        <v/>
      </c>
    </row>
    <row r="219" spans="1:42"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58">
        <f t="shared" si="32"/>
        <v>0</v>
      </c>
      <c r="AE219" s="459" t="str">
        <f>IFERROR(INDEX(V!$R:$R,MATCH(AF219,V!$L:$L,0)),"")</f>
        <v/>
      </c>
      <c r="AF219" s="460" t="str">
        <f t="shared" si="26"/>
        <v/>
      </c>
      <c r="AG219" s="459" t="str">
        <f>IFERROR(INDEX(V!$R:$R,MATCH(AH219,V!$L:$L,0)),"")</f>
        <v/>
      </c>
      <c r="AH219" s="460" t="str">
        <f t="shared" si="27"/>
        <v/>
      </c>
      <c r="AI219" s="459" t="str">
        <f>IFERROR(INDEX(V!$R:$R,MATCH(AJ219,V!$L:$L,0)),"")</f>
        <v/>
      </c>
      <c r="AJ219" s="460" t="str">
        <f t="shared" si="28"/>
        <v/>
      </c>
      <c r="AK219" s="459" t="str">
        <f>IFERROR(INDEX(V!$R:$R,MATCH(AL219,V!$L:$L,0)),"")</f>
        <v/>
      </c>
      <c r="AL219" s="460" t="str">
        <f t="shared" si="29"/>
        <v/>
      </c>
      <c r="AM219" s="459" t="str">
        <f>IFERROR(INDEX(V!$R:$R,MATCH(AN219,V!$L:$L,0)),"")</f>
        <v/>
      </c>
      <c r="AN219" s="460" t="str">
        <f t="shared" si="30"/>
        <v/>
      </c>
      <c r="AO219" s="459" t="str">
        <f>IFERROR(INDEX(V!$R:$R,MATCH(AP219,V!$L:$L,0)),"")</f>
        <v/>
      </c>
      <c r="AP219" s="460" t="str">
        <f t="shared" si="31"/>
        <v/>
      </c>
    </row>
    <row r="220" spans="1:42"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58">
        <f t="shared" si="32"/>
        <v>0</v>
      </c>
      <c r="AE220" s="459" t="str">
        <f>IFERROR(INDEX(V!$R:$R,MATCH(AF220,V!$L:$L,0)),"")</f>
        <v/>
      </c>
      <c r="AF220" s="460" t="str">
        <f t="shared" si="26"/>
        <v/>
      </c>
      <c r="AG220" s="459" t="str">
        <f>IFERROR(INDEX(V!$R:$R,MATCH(AH220,V!$L:$L,0)),"")</f>
        <v/>
      </c>
      <c r="AH220" s="460" t="str">
        <f t="shared" si="27"/>
        <v/>
      </c>
      <c r="AI220" s="459" t="str">
        <f>IFERROR(INDEX(V!$R:$R,MATCH(AJ220,V!$L:$L,0)),"")</f>
        <v/>
      </c>
      <c r="AJ220" s="460" t="str">
        <f t="shared" si="28"/>
        <v/>
      </c>
      <c r="AK220" s="459" t="str">
        <f>IFERROR(INDEX(V!$R:$R,MATCH(AL220,V!$L:$L,0)),"")</f>
        <v/>
      </c>
      <c r="AL220" s="460" t="str">
        <f t="shared" si="29"/>
        <v/>
      </c>
      <c r="AM220" s="459" t="str">
        <f>IFERROR(INDEX(V!$R:$R,MATCH(AN220,V!$L:$L,0)),"")</f>
        <v/>
      </c>
      <c r="AN220" s="460" t="str">
        <f t="shared" si="30"/>
        <v/>
      </c>
      <c r="AO220" s="459" t="str">
        <f>IFERROR(INDEX(V!$R:$R,MATCH(AP220,V!$L:$L,0)),"")</f>
        <v/>
      </c>
      <c r="AP220" s="460" t="str">
        <f t="shared" si="31"/>
        <v/>
      </c>
    </row>
    <row r="221" spans="1:42"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58">
        <f t="shared" si="32"/>
        <v>0</v>
      </c>
      <c r="AE221" s="459" t="str">
        <f>IFERROR(INDEX(V!$R:$R,MATCH(AF221,V!$L:$L,0)),"")</f>
        <v/>
      </c>
      <c r="AF221" s="460" t="str">
        <f t="shared" si="26"/>
        <v/>
      </c>
      <c r="AG221" s="459" t="str">
        <f>IFERROR(INDEX(V!$R:$R,MATCH(AH221,V!$L:$L,0)),"")</f>
        <v/>
      </c>
      <c r="AH221" s="460" t="str">
        <f t="shared" si="27"/>
        <v/>
      </c>
      <c r="AI221" s="459" t="str">
        <f>IFERROR(INDEX(V!$R:$R,MATCH(AJ221,V!$L:$L,0)),"")</f>
        <v/>
      </c>
      <c r="AJ221" s="460" t="str">
        <f t="shared" si="28"/>
        <v/>
      </c>
      <c r="AK221" s="459" t="str">
        <f>IFERROR(INDEX(V!$R:$R,MATCH(AL221,V!$L:$L,0)),"")</f>
        <v/>
      </c>
      <c r="AL221" s="460" t="str">
        <f t="shared" si="29"/>
        <v/>
      </c>
      <c r="AM221" s="459" t="str">
        <f>IFERROR(INDEX(V!$R:$R,MATCH(AN221,V!$L:$L,0)),"")</f>
        <v/>
      </c>
      <c r="AN221" s="460" t="str">
        <f t="shared" si="30"/>
        <v/>
      </c>
      <c r="AO221" s="459" t="str">
        <f>IFERROR(INDEX(V!$R:$R,MATCH(AP221,V!$L:$L,0)),"")</f>
        <v/>
      </c>
      <c r="AP221" s="460" t="str">
        <f t="shared" si="31"/>
        <v/>
      </c>
    </row>
    <row r="222" spans="1:42"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58">
        <f t="shared" si="32"/>
        <v>0</v>
      </c>
      <c r="AE222" s="459" t="str">
        <f>IFERROR(INDEX(V!$R:$R,MATCH(AF222,V!$L:$L,0)),"")</f>
        <v/>
      </c>
      <c r="AF222" s="460" t="str">
        <f t="shared" si="26"/>
        <v/>
      </c>
      <c r="AG222" s="459" t="str">
        <f>IFERROR(INDEX(V!$R:$R,MATCH(AH222,V!$L:$L,0)),"")</f>
        <v/>
      </c>
      <c r="AH222" s="460" t="str">
        <f t="shared" si="27"/>
        <v/>
      </c>
      <c r="AI222" s="459" t="str">
        <f>IFERROR(INDEX(V!$R:$R,MATCH(AJ222,V!$L:$L,0)),"")</f>
        <v/>
      </c>
      <c r="AJ222" s="460" t="str">
        <f t="shared" si="28"/>
        <v/>
      </c>
      <c r="AK222" s="459" t="str">
        <f>IFERROR(INDEX(V!$R:$R,MATCH(AL222,V!$L:$L,0)),"")</f>
        <v/>
      </c>
      <c r="AL222" s="460" t="str">
        <f t="shared" si="29"/>
        <v/>
      </c>
      <c r="AM222" s="459" t="str">
        <f>IFERROR(INDEX(V!$R:$R,MATCH(AN222,V!$L:$L,0)),"")</f>
        <v/>
      </c>
      <c r="AN222" s="460" t="str">
        <f t="shared" si="30"/>
        <v/>
      </c>
      <c r="AO222" s="459" t="str">
        <f>IFERROR(INDEX(V!$R:$R,MATCH(AP222,V!$L:$L,0)),"")</f>
        <v/>
      </c>
      <c r="AP222" s="460" t="str">
        <f t="shared" si="31"/>
        <v/>
      </c>
    </row>
    <row r="223" spans="1:42"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58">
        <f t="shared" si="32"/>
        <v>0</v>
      </c>
      <c r="AE223" s="459" t="str">
        <f>IFERROR(INDEX(V!$R:$R,MATCH(AF223,V!$L:$L,0)),"")</f>
        <v/>
      </c>
      <c r="AF223" s="460" t="str">
        <f t="shared" si="26"/>
        <v/>
      </c>
      <c r="AG223" s="459" t="str">
        <f>IFERROR(INDEX(V!$R:$R,MATCH(AH223,V!$L:$L,0)),"")</f>
        <v/>
      </c>
      <c r="AH223" s="460" t="str">
        <f t="shared" si="27"/>
        <v/>
      </c>
      <c r="AI223" s="459" t="str">
        <f>IFERROR(INDEX(V!$R:$R,MATCH(AJ223,V!$L:$L,0)),"")</f>
        <v/>
      </c>
      <c r="AJ223" s="460" t="str">
        <f t="shared" si="28"/>
        <v/>
      </c>
      <c r="AK223" s="459" t="str">
        <f>IFERROR(INDEX(V!$R:$R,MATCH(AL223,V!$L:$L,0)),"")</f>
        <v/>
      </c>
      <c r="AL223" s="460" t="str">
        <f t="shared" si="29"/>
        <v/>
      </c>
      <c r="AM223" s="459" t="str">
        <f>IFERROR(INDEX(V!$R:$R,MATCH(AN223,V!$L:$L,0)),"")</f>
        <v/>
      </c>
      <c r="AN223" s="460" t="str">
        <f t="shared" si="30"/>
        <v/>
      </c>
      <c r="AO223" s="459" t="str">
        <f>IFERROR(INDEX(V!$R:$R,MATCH(AP223,V!$L:$L,0)),"")</f>
        <v/>
      </c>
      <c r="AP223" s="460" t="str">
        <f t="shared" si="31"/>
        <v/>
      </c>
    </row>
    <row r="224" spans="1:42"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58">
        <f t="shared" si="32"/>
        <v>0</v>
      </c>
      <c r="AE224" s="459" t="str">
        <f>IFERROR(INDEX(V!$R:$R,MATCH(AF224,V!$L:$L,0)),"")</f>
        <v/>
      </c>
      <c r="AF224" s="460" t="str">
        <f t="shared" si="26"/>
        <v/>
      </c>
      <c r="AG224" s="459" t="str">
        <f>IFERROR(INDEX(V!$R:$R,MATCH(AH224,V!$L:$L,0)),"")</f>
        <v/>
      </c>
      <c r="AH224" s="460" t="str">
        <f t="shared" si="27"/>
        <v/>
      </c>
      <c r="AI224" s="459" t="str">
        <f>IFERROR(INDEX(V!$R:$R,MATCH(AJ224,V!$L:$L,0)),"")</f>
        <v/>
      </c>
      <c r="AJ224" s="460" t="str">
        <f t="shared" si="28"/>
        <v/>
      </c>
      <c r="AK224" s="459" t="str">
        <f>IFERROR(INDEX(V!$R:$R,MATCH(AL224,V!$L:$L,0)),"")</f>
        <v/>
      </c>
      <c r="AL224" s="460" t="str">
        <f t="shared" si="29"/>
        <v/>
      </c>
      <c r="AM224" s="459" t="str">
        <f>IFERROR(INDEX(V!$R:$R,MATCH(AN224,V!$L:$L,0)),"")</f>
        <v/>
      </c>
      <c r="AN224" s="460" t="str">
        <f t="shared" si="30"/>
        <v/>
      </c>
      <c r="AO224" s="459" t="str">
        <f>IFERROR(INDEX(V!$R:$R,MATCH(AP224,V!$L:$L,0)),"")</f>
        <v/>
      </c>
      <c r="AP224" s="460" t="str">
        <f t="shared" si="31"/>
        <v/>
      </c>
    </row>
    <row r="225" spans="1:42"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58">
        <f t="shared" si="32"/>
        <v>0</v>
      </c>
      <c r="AE225" s="459" t="str">
        <f>IFERROR(INDEX(V!$R:$R,MATCH(AF225,V!$L:$L,0)),"")</f>
        <v/>
      </c>
      <c r="AF225" s="460" t="str">
        <f t="shared" si="26"/>
        <v/>
      </c>
      <c r="AG225" s="459" t="str">
        <f>IFERROR(INDEX(V!$R:$R,MATCH(AH225,V!$L:$L,0)),"")</f>
        <v/>
      </c>
      <c r="AH225" s="460" t="str">
        <f t="shared" si="27"/>
        <v/>
      </c>
      <c r="AI225" s="459" t="str">
        <f>IFERROR(INDEX(V!$R:$R,MATCH(AJ225,V!$L:$L,0)),"")</f>
        <v/>
      </c>
      <c r="AJ225" s="460" t="str">
        <f t="shared" si="28"/>
        <v/>
      </c>
      <c r="AK225" s="459" t="str">
        <f>IFERROR(INDEX(V!$R:$R,MATCH(AL225,V!$L:$L,0)),"")</f>
        <v/>
      </c>
      <c r="AL225" s="460" t="str">
        <f t="shared" si="29"/>
        <v/>
      </c>
      <c r="AM225" s="459" t="str">
        <f>IFERROR(INDEX(V!$R:$R,MATCH(AN225,V!$L:$L,0)),"")</f>
        <v/>
      </c>
      <c r="AN225" s="460" t="str">
        <f t="shared" si="30"/>
        <v/>
      </c>
      <c r="AO225" s="459" t="str">
        <f>IFERROR(INDEX(V!$R:$R,MATCH(AP225,V!$L:$L,0)),"")</f>
        <v/>
      </c>
      <c r="AP225" s="460" t="str">
        <f t="shared" si="31"/>
        <v/>
      </c>
    </row>
    <row r="226" spans="1:42"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58">
        <f t="shared" si="32"/>
        <v>0</v>
      </c>
      <c r="AE226" s="459" t="str">
        <f>IFERROR(INDEX(V!$R:$R,MATCH(AF226,V!$L:$L,0)),"")</f>
        <v/>
      </c>
      <c r="AF226" s="460" t="str">
        <f t="shared" si="26"/>
        <v/>
      </c>
      <c r="AG226" s="459" t="str">
        <f>IFERROR(INDEX(V!$R:$R,MATCH(AH226,V!$L:$L,0)),"")</f>
        <v/>
      </c>
      <c r="AH226" s="460" t="str">
        <f t="shared" si="27"/>
        <v/>
      </c>
      <c r="AI226" s="459" t="str">
        <f>IFERROR(INDEX(V!$R:$R,MATCH(AJ226,V!$L:$L,0)),"")</f>
        <v/>
      </c>
      <c r="AJ226" s="460" t="str">
        <f t="shared" si="28"/>
        <v/>
      </c>
      <c r="AK226" s="459" t="str">
        <f>IFERROR(INDEX(V!$R:$R,MATCH(AL226,V!$L:$L,0)),"")</f>
        <v/>
      </c>
      <c r="AL226" s="460" t="str">
        <f t="shared" si="29"/>
        <v/>
      </c>
      <c r="AM226" s="459" t="str">
        <f>IFERROR(INDEX(V!$R:$R,MATCH(AN226,V!$L:$L,0)),"")</f>
        <v/>
      </c>
      <c r="AN226" s="460" t="str">
        <f t="shared" si="30"/>
        <v/>
      </c>
      <c r="AO226" s="459" t="str">
        <f>IFERROR(INDEX(V!$R:$R,MATCH(AP226,V!$L:$L,0)),"")</f>
        <v/>
      </c>
      <c r="AP226" s="460" t="str">
        <f t="shared" si="31"/>
        <v/>
      </c>
    </row>
    <row r="227" spans="1:42"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58">
        <f t="shared" si="32"/>
        <v>0</v>
      </c>
      <c r="AE227" s="459" t="str">
        <f>IFERROR(INDEX(V!$R:$R,MATCH(AF227,V!$L:$L,0)),"")</f>
        <v/>
      </c>
      <c r="AF227" s="460" t="str">
        <f t="shared" si="26"/>
        <v/>
      </c>
      <c r="AG227" s="459" t="str">
        <f>IFERROR(INDEX(V!$R:$R,MATCH(AH227,V!$L:$L,0)),"")</f>
        <v/>
      </c>
      <c r="AH227" s="460" t="str">
        <f t="shared" si="27"/>
        <v/>
      </c>
      <c r="AI227" s="459" t="str">
        <f>IFERROR(INDEX(V!$R:$R,MATCH(AJ227,V!$L:$L,0)),"")</f>
        <v/>
      </c>
      <c r="AJ227" s="460" t="str">
        <f t="shared" si="28"/>
        <v/>
      </c>
      <c r="AK227" s="459" t="str">
        <f>IFERROR(INDEX(V!$R:$R,MATCH(AL227,V!$L:$L,0)),"")</f>
        <v/>
      </c>
      <c r="AL227" s="460" t="str">
        <f t="shared" si="29"/>
        <v/>
      </c>
      <c r="AM227" s="459" t="str">
        <f>IFERROR(INDEX(V!$R:$R,MATCH(AN227,V!$L:$L,0)),"")</f>
        <v/>
      </c>
      <c r="AN227" s="460" t="str">
        <f t="shared" si="30"/>
        <v/>
      </c>
      <c r="AO227" s="459" t="str">
        <f>IFERROR(INDEX(V!$R:$R,MATCH(AP227,V!$L:$L,0)),"")</f>
        <v/>
      </c>
      <c r="AP227" s="460" t="str">
        <f t="shared" si="31"/>
        <v/>
      </c>
    </row>
    <row r="228" spans="1:42"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58">
        <f t="shared" si="32"/>
        <v>0</v>
      </c>
      <c r="AE228" s="459" t="str">
        <f>IFERROR(INDEX(V!$R:$R,MATCH(AF228,V!$L:$L,0)),"")</f>
        <v/>
      </c>
      <c r="AF228" s="460" t="str">
        <f t="shared" si="26"/>
        <v/>
      </c>
      <c r="AG228" s="459" t="str">
        <f>IFERROR(INDEX(V!$R:$R,MATCH(AH228,V!$L:$L,0)),"")</f>
        <v/>
      </c>
      <c r="AH228" s="460" t="str">
        <f t="shared" si="27"/>
        <v/>
      </c>
      <c r="AI228" s="459" t="str">
        <f>IFERROR(INDEX(V!$R:$R,MATCH(AJ228,V!$L:$L,0)),"")</f>
        <v/>
      </c>
      <c r="AJ228" s="460" t="str">
        <f t="shared" si="28"/>
        <v/>
      </c>
      <c r="AK228" s="459" t="str">
        <f>IFERROR(INDEX(V!$R:$R,MATCH(AL228,V!$L:$L,0)),"")</f>
        <v/>
      </c>
      <c r="AL228" s="460" t="str">
        <f t="shared" si="29"/>
        <v/>
      </c>
      <c r="AM228" s="459" t="str">
        <f>IFERROR(INDEX(V!$R:$R,MATCH(AN228,V!$L:$L,0)),"")</f>
        <v/>
      </c>
      <c r="AN228" s="460" t="str">
        <f t="shared" si="30"/>
        <v/>
      </c>
      <c r="AO228" s="459" t="str">
        <f>IFERROR(INDEX(V!$R:$R,MATCH(AP228,V!$L:$L,0)),"")</f>
        <v/>
      </c>
      <c r="AP228" s="460" t="str">
        <f t="shared" si="31"/>
        <v/>
      </c>
    </row>
    <row r="229" spans="1:42"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58">
        <f t="shared" si="32"/>
        <v>0</v>
      </c>
      <c r="AE229" s="459" t="str">
        <f>IFERROR(INDEX(V!$R:$R,MATCH(AF229,V!$L:$L,0)),"")</f>
        <v/>
      </c>
      <c r="AF229" s="460" t="str">
        <f t="shared" si="26"/>
        <v/>
      </c>
      <c r="AG229" s="459" t="str">
        <f>IFERROR(INDEX(V!$R:$R,MATCH(AH229,V!$L:$L,0)),"")</f>
        <v/>
      </c>
      <c r="AH229" s="460" t="str">
        <f t="shared" si="27"/>
        <v/>
      </c>
      <c r="AI229" s="459" t="str">
        <f>IFERROR(INDEX(V!$R:$R,MATCH(AJ229,V!$L:$L,0)),"")</f>
        <v/>
      </c>
      <c r="AJ229" s="460" t="str">
        <f t="shared" si="28"/>
        <v/>
      </c>
      <c r="AK229" s="459" t="str">
        <f>IFERROR(INDEX(V!$R:$R,MATCH(AL229,V!$L:$L,0)),"")</f>
        <v/>
      </c>
      <c r="AL229" s="460" t="str">
        <f t="shared" si="29"/>
        <v/>
      </c>
      <c r="AM229" s="459" t="str">
        <f>IFERROR(INDEX(V!$R:$R,MATCH(AN229,V!$L:$L,0)),"")</f>
        <v/>
      </c>
      <c r="AN229" s="460" t="str">
        <f t="shared" si="30"/>
        <v/>
      </c>
      <c r="AO229" s="459" t="str">
        <f>IFERROR(INDEX(V!$R:$R,MATCH(AP229,V!$L:$L,0)),"")</f>
        <v/>
      </c>
      <c r="AP229" s="460" t="str">
        <f t="shared" si="31"/>
        <v/>
      </c>
    </row>
    <row r="230" spans="1:42"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58">
        <f t="shared" si="32"/>
        <v>0</v>
      </c>
      <c r="AE230" s="459" t="str">
        <f>IFERROR(INDEX(V!$R:$R,MATCH(AF230,V!$L:$L,0)),"")</f>
        <v/>
      </c>
      <c r="AF230" s="460" t="str">
        <f t="shared" si="26"/>
        <v/>
      </c>
      <c r="AG230" s="459" t="str">
        <f>IFERROR(INDEX(V!$R:$R,MATCH(AH230,V!$L:$L,0)),"")</f>
        <v/>
      </c>
      <c r="AH230" s="460" t="str">
        <f t="shared" si="27"/>
        <v/>
      </c>
      <c r="AI230" s="459" t="str">
        <f>IFERROR(INDEX(V!$R:$R,MATCH(AJ230,V!$L:$L,0)),"")</f>
        <v/>
      </c>
      <c r="AJ230" s="460" t="str">
        <f t="shared" si="28"/>
        <v/>
      </c>
      <c r="AK230" s="459" t="str">
        <f>IFERROR(INDEX(V!$R:$R,MATCH(AL230,V!$L:$L,0)),"")</f>
        <v/>
      </c>
      <c r="AL230" s="460" t="str">
        <f t="shared" si="29"/>
        <v/>
      </c>
      <c r="AM230" s="459" t="str">
        <f>IFERROR(INDEX(V!$R:$R,MATCH(AN230,V!$L:$L,0)),"")</f>
        <v/>
      </c>
      <c r="AN230" s="460" t="str">
        <f t="shared" si="30"/>
        <v/>
      </c>
      <c r="AO230" s="459" t="str">
        <f>IFERROR(INDEX(V!$R:$R,MATCH(AP230,V!$L:$L,0)),"")</f>
        <v/>
      </c>
      <c r="AP230" s="460" t="str">
        <f t="shared" si="31"/>
        <v/>
      </c>
    </row>
    <row r="231" spans="1:42"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58">
        <f t="shared" si="32"/>
        <v>0</v>
      </c>
      <c r="AE231" s="459" t="str">
        <f>IFERROR(INDEX(V!$R:$R,MATCH(AF231,V!$L:$L,0)),"")</f>
        <v/>
      </c>
      <c r="AF231" s="460" t="str">
        <f t="shared" si="26"/>
        <v/>
      </c>
      <c r="AG231" s="459" t="str">
        <f>IFERROR(INDEX(V!$R:$R,MATCH(AH231,V!$L:$L,0)),"")</f>
        <v/>
      </c>
      <c r="AH231" s="460" t="str">
        <f t="shared" si="27"/>
        <v/>
      </c>
      <c r="AI231" s="459" t="str">
        <f>IFERROR(INDEX(V!$R:$R,MATCH(AJ231,V!$L:$L,0)),"")</f>
        <v/>
      </c>
      <c r="AJ231" s="460" t="str">
        <f t="shared" si="28"/>
        <v/>
      </c>
      <c r="AK231" s="459" t="str">
        <f>IFERROR(INDEX(V!$R:$R,MATCH(AL231,V!$L:$L,0)),"")</f>
        <v/>
      </c>
      <c r="AL231" s="460" t="str">
        <f t="shared" si="29"/>
        <v/>
      </c>
      <c r="AM231" s="459" t="str">
        <f>IFERROR(INDEX(V!$R:$R,MATCH(AN231,V!$L:$L,0)),"")</f>
        <v/>
      </c>
      <c r="AN231" s="460" t="str">
        <f t="shared" si="30"/>
        <v/>
      </c>
      <c r="AO231" s="459" t="str">
        <f>IFERROR(INDEX(V!$R:$R,MATCH(AP231,V!$L:$L,0)),"")</f>
        <v/>
      </c>
      <c r="AP231" s="460" t="str">
        <f t="shared" si="31"/>
        <v/>
      </c>
    </row>
    <row r="232" spans="1:42"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58">
        <f t="shared" si="32"/>
        <v>0</v>
      </c>
      <c r="AE232" s="459" t="str">
        <f>IFERROR(INDEX(V!$R:$R,MATCH(AF232,V!$L:$L,0)),"")</f>
        <v/>
      </c>
      <c r="AF232" s="460" t="str">
        <f t="shared" si="26"/>
        <v/>
      </c>
      <c r="AG232" s="459" t="str">
        <f>IFERROR(INDEX(V!$R:$R,MATCH(AH232,V!$L:$L,0)),"")</f>
        <v/>
      </c>
      <c r="AH232" s="460" t="str">
        <f t="shared" si="27"/>
        <v/>
      </c>
      <c r="AI232" s="459" t="str">
        <f>IFERROR(INDEX(V!$R:$R,MATCH(AJ232,V!$L:$L,0)),"")</f>
        <v/>
      </c>
      <c r="AJ232" s="460" t="str">
        <f t="shared" si="28"/>
        <v/>
      </c>
      <c r="AK232" s="459" t="str">
        <f>IFERROR(INDEX(V!$R:$R,MATCH(AL232,V!$L:$L,0)),"")</f>
        <v/>
      </c>
      <c r="AL232" s="460" t="str">
        <f t="shared" si="29"/>
        <v/>
      </c>
      <c r="AM232" s="459" t="str">
        <f>IFERROR(INDEX(V!$R:$R,MATCH(AN232,V!$L:$L,0)),"")</f>
        <v/>
      </c>
      <c r="AN232" s="460" t="str">
        <f t="shared" si="30"/>
        <v/>
      </c>
      <c r="AO232" s="459" t="str">
        <f>IFERROR(INDEX(V!$R:$R,MATCH(AP232,V!$L:$L,0)),"")</f>
        <v/>
      </c>
      <c r="AP232" s="460" t="str">
        <f t="shared" si="31"/>
        <v/>
      </c>
    </row>
    <row r="233" spans="1:42"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58">
        <f t="shared" si="32"/>
        <v>0</v>
      </c>
      <c r="AE233" s="459" t="str">
        <f>IFERROR(INDEX(V!$R:$R,MATCH(AF233,V!$L:$L,0)),"")</f>
        <v/>
      </c>
      <c r="AF233" s="460" t="str">
        <f t="shared" si="26"/>
        <v/>
      </c>
      <c r="AG233" s="459" t="str">
        <f>IFERROR(INDEX(V!$R:$R,MATCH(AH233,V!$L:$L,0)),"")</f>
        <v/>
      </c>
      <c r="AH233" s="460" t="str">
        <f t="shared" si="27"/>
        <v/>
      </c>
      <c r="AI233" s="459" t="str">
        <f>IFERROR(INDEX(V!$R:$R,MATCH(AJ233,V!$L:$L,0)),"")</f>
        <v/>
      </c>
      <c r="AJ233" s="460" t="str">
        <f t="shared" si="28"/>
        <v/>
      </c>
      <c r="AK233" s="459" t="str">
        <f>IFERROR(INDEX(V!$R:$R,MATCH(AL233,V!$L:$L,0)),"")</f>
        <v/>
      </c>
      <c r="AL233" s="460" t="str">
        <f t="shared" si="29"/>
        <v/>
      </c>
      <c r="AM233" s="459" t="str">
        <f>IFERROR(INDEX(V!$R:$R,MATCH(AN233,V!$L:$L,0)),"")</f>
        <v/>
      </c>
      <c r="AN233" s="460" t="str">
        <f t="shared" si="30"/>
        <v/>
      </c>
      <c r="AO233" s="459" t="str">
        <f>IFERROR(INDEX(V!$R:$R,MATCH(AP233,V!$L:$L,0)),"")</f>
        <v/>
      </c>
      <c r="AP233" s="460" t="str">
        <f t="shared" si="31"/>
        <v/>
      </c>
    </row>
    <row r="234" spans="1:42"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58">
        <f t="shared" si="32"/>
        <v>0</v>
      </c>
      <c r="AE234" s="459" t="str">
        <f>IFERROR(INDEX(V!$R:$R,MATCH(AF234,V!$L:$L,0)),"")</f>
        <v/>
      </c>
      <c r="AF234" s="460" t="str">
        <f t="shared" si="26"/>
        <v/>
      </c>
      <c r="AG234" s="459" t="str">
        <f>IFERROR(INDEX(V!$R:$R,MATCH(AH234,V!$L:$L,0)),"")</f>
        <v/>
      </c>
      <c r="AH234" s="460" t="str">
        <f t="shared" si="27"/>
        <v/>
      </c>
      <c r="AI234" s="459" t="str">
        <f>IFERROR(INDEX(V!$R:$R,MATCH(AJ234,V!$L:$L,0)),"")</f>
        <v/>
      </c>
      <c r="AJ234" s="460" t="str">
        <f t="shared" si="28"/>
        <v/>
      </c>
      <c r="AK234" s="459" t="str">
        <f>IFERROR(INDEX(V!$R:$R,MATCH(AL234,V!$L:$L,0)),"")</f>
        <v/>
      </c>
      <c r="AL234" s="460" t="str">
        <f t="shared" si="29"/>
        <v/>
      </c>
      <c r="AM234" s="459" t="str">
        <f>IFERROR(INDEX(V!$R:$R,MATCH(AN234,V!$L:$L,0)),"")</f>
        <v/>
      </c>
      <c r="AN234" s="460" t="str">
        <f t="shared" si="30"/>
        <v/>
      </c>
      <c r="AO234" s="459" t="str">
        <f>IFERROR(INDEX(V!$R:$R,MATCH(AP234,V!$L:$L,0)),"")</f>
        <v/>
      </c>
      <c r="AP234" s="460" t="str">
        <f t="shared" si="31"/>
        <v/>
      </c>
    </row>
    <row r="235" spans="1:42"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58">
        <f t="shared" si="32"/>
        <v>0</v>
      </c>
      <c r="AE235" s="459" t="str">
        <f>IFERROR(INDEX(V!$R:$R,MATCH(AF235,V!$L:$L,0)),"")</f>
        <v/>
      </c>
      <c r="AF235" s="460" t="str">
        <f t="shared" si="26"/>
        <v/>
      </c>
      <c r="AG235" s="459" t="str">
        <f>IFERROR(INDEX(V!$R:$R,MATCH(AH235,V!$L:$L,0)),"")</f>
        <v/>
      </c>
      <c r="AH235" s="460" t="str">
        <f t="shared" si="27"/>
        <v/>
      </c>
      <c r="AI235" s="459" t="str">
        <f>IFERROR(INDEX(V!$R:$R,MATCH(AJ235,V!$L:$L,0)),"")</f>
        <v/>
      </c>
      <c r="AJ235" s="460" t="str">
        <f t="shared" si="28"/>
        <v/>
      </c>
      <c r="AK235" s="459" t="str">
        <f>IFERROR(INDEX(V!$R:$R,MATCH(AL235,V!$L:$L,0)),"")</f>
        <v/>
      </c>
      <c r="AL235" s="460" t="str">
        <f t="shared" si="29"/>
        <v/>
      </c>
      <c r="AM235" s="459" t="str">
        <f>IFERROR(INDEX(V!$R:$R,MATCH(AN235,V!$L:$L,0)),"")</f>
        <v/>
      </c>
      <c r="AN235" s="460" t="str">
        <f t="shared" si="30"/>
        <v/>
      </c>
      <c r="AO235" s="459" t="str">
        <f>IFERROR(INDEX(V!$R:$R,MATCH(AP235,V!$L:$L,0)),"")</f>
        <v/>
      </c>
      <c r="AP235" s="460" t="str">
        <f t="shared" si="31"/>
        <v/>
      </c>
    </row>
    <row r="236" spans="1:42"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58">
        <f t="shared" si="32"/>
        <v>0</v>
      </c>
      <c r="AE236" s="459" t="str">
        <f>IFERROR(INDEX(V!$R:$R,MATCH(AF236,V!$L:$L,0)),"")</f>
        <v/>
      </c>
      <c r="AF236" s="460" t="str">
        <f t="shared" si="26"/>
        <v/>
      </c>
      <c r="AG236" s="459" t="str">
        <f>IFERROR(INDEX(V!$R:$R,MATCH(AH236,V!$L:$L,0)),"")</f>
        <v/>
      </c>
      <c r="AH236" s="460" t="str">
        <f t="shared" si="27"/>
        <v/>
      </c>
      <c r="AI236" s="459" t="str">
        <f>IFERROR(INDEX(V!$R:$R,MATCH(AJ236,V!$L:$L,0)),"")</f>
        <v/>
      </c>
      <c r="AJ236" s="460" t="str">
        <f t="shared" si="28"/>
        <v/>
      </c>
      <c r="AK236" s="459" t="str">
        <f>IFERROR(INDEX(V!$R:$R,MATCH(AL236,V!$L:$L,0)),"")</f>
        <v/>
      </c>
      <c r="AL236" s="460" t="str">
        <f t="shared" si="29"/>
        <v/>
      </c>
      <c r="AM236" s="459" t="str">
        <f>IFERROR(INDEX(V!$R:$R,MATCH(AN236,V!$L:$L,0)),"")</f>
        <v/>
      </c>
      <c r="AN236" s="460" t="str">
        <f t="shared" si="30"/>
        <v/>
      </c>
      <c r="AO236" s="459" t="str">
        <f>IFERROR(INDEX(V!$R:$R,MATCH(AP236,V!$L:$L,0)),"")</f>
        <v/>
      </c>
      <c r="AP236" s="460" t="str">
        <f t="shared" si="31"/>
        <v/>
      </c>
    </row>
    <row r="237" spans="1:42"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58">
        <f t="shared" si="32"/>
        <v>0</v>
      </c>
      <c r="AE237" s="459" t="str">
        <f>IFERROR(INDEX(V!$R:$R,MATCH(AF237,V!$L:$L,0)),"")</f>
        <v/>
      </c>
      <c r="AF237" s="460" t="str">
        <f t="shared" si="26"/>
        <v/>
      </c>
      <c r="AG237" s="459" t="str">
        <f>IFERROR(INDEX(V!$R:$R,MATCH(AH237,V!$L:$L,0)),"")</f>
        <v/>
      </c>
      <c r="AH237" s="460" t="str">
        <f t="shared" si="27"/>
        <v/>
      </c>
      <c r="AI237" s="459" t="str">
        <f>IFERROR(INDEX(V!$R:$R,MATCH(AJ237,V!$L:$L,0)),"")</f>
        <v/>
      </c>
      <c r="AJ237" s="460" t="str">
        <f t="shared" si="28"/>
        <v/>
      </c>
      <c r="AK237" s="459" t="str">
        <f>IFERROR(INDEX(V!$R:$R,MATCH(AL237,V!$L:$L,0)),"")</f>
        <v/>
      </c>
      <c r="AL237" s="460" t="str">
        <f t="shared" si="29"/>
        <v/>
      </c>
      <c r="AM237" s="459" t="str">
        <f>IFERROR(INDEX(V!$R:$R,MATCH(AN237,V!$L:$L,0)),"")</f>
        <v/>
      </c>
      <c r="AN237" s="460" t="str">
        <f t="shared" si="30"/>
        <v/>
      </c>
      <c r="AO237" s="459" t="str">
        <f>IFERROR(INDEX(V!$R:$R,MATCH(AP237,V!$L:$L,0)),"")</f>
        <v/>
      </c>
      <c r="AP237" s="460" t="str">
        <f t="shared" si="31"/>
        <v/>
      </c>
    </row>
    <row r="238" spans="1:42"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58">
        <f t="shared" si="32"/>
        <v>0</v>
      </c>
      <c r="AE238" s="459" t="str">
        <f>IFERROR(INDEX(V!$R:$R,MATCH(AF238,V!$L:$L,0)),"")</f>
        <v/>
      </c>
      <c r="AF238" s="460" t="str">
        <f t="shared" si="26"/>
        <v/>
      </c>
      <c r="AG238" s="459" t="str">
        <f>IFERROR(INDEX(V!$R:$R,MATCH(AH238,V!$L:$L,0)),"")</f>
        <v/>
      </c>
      <c r="AH238" s="460" t="str">
        <f t="shared" si="27"/>
        <v/>
      </c>
      <c r="AI238" s="459" t="str">
        <f>IFERROR(INDEX(V!$R:$R,MATCH(AJ238,V!$L:$L,0)),"")</f>
        <v/>
      </c>
      <c r="AJ238" s="460" t="str">
        <f t="shared" si="28"/>
        <v/>
      </c>
      <c r="AK238" s="459" t="str">
        <f>IFERROR(INDEX(V!$R:$R,MATCH(AL238,V!$L:$L,0)),"")</f>
        <v/>
      </c>
      <c r="AL238" s="460" t="str">
        <f t="shared" si="29"/>
        <v/>
      </c>
      <c r="AM238" s="459" t="str">
        <f>IFERROR(INDEX(V!$R:$R,MATCH(AN238,V!$L:$L,0)),"")</f>
        <v/>
      </c>
      <c r="AN238" s="460" t="str">
        <f t="shared" si="30"/>
        <v/>
      </c>
      <c r="AO238" s="459" t="str">
        <f>IFERROR(INDEX(V!$R:$R,MATCH(AP238,V!$L:$L,0)),"")</f>
        <v/>
      </c>
      <c r="AP238" s="460" t="str">
        <f t="shared" si="31"/>
        <v/>
      </c>
    </row>
    <row r="239" spans="1:42"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58">
        <f t="shared" si="32"/>
        <v>0</v>
      </c>
      <c r="AE239" s="459" t="str">
        <f>IFERROR(INDEX(V!$R:$R,MATCH(AF239,V!$L:$L,0)),"")</f>
        <v/>
      </c>
      <c r="AF239" s="460" t="str">
        <f t="shared" si="26"/>
        <v/>
      </c>
      <c r="AG239" s="459" t="str">
        <f>IFERROR(INDEX(V!$R:$R,MATCH(AH239,V!$L:$L,0)),"")</f>
        <v/>
      </c>
      <c r="AH239" s="460" t="str">
        <f t="shared" si="27"/>
        <v/>
      </c>
      <c r="AI239" s="459" t="str">
        <f>IFERROR(INDEX(V!$R:$R,MATCH(AJ239,V!$L:$L,0)),"")</f>
        <v/>
      </c>
      <c r="AJ239" s="460" t="str">
        <f t="shared" si="28"/>
        <v/>
      </c>
      <c r="AK239" s="459" t="str">
        <f>IFERROR(INDEX(V!$R:$R,MATCH(AL239,V!$L:$L,0)),"")</f>
        <v/>
      </c>
      <c r="AL239" s="460" t="str">
        <f t="shared" si="29"/>
        <v/>
      </c>
      <c r="AM239" s="459" t="str">
        <f>IFERROR(INDEX(V!$R:$R,MATCH(AN239,V!$L:$L,0)),"")</f>
        <v/>
      </c>
      <c r="AN239" s="460" t="str">
        <f t="shared" si="30"/>
        <v/>
      </c>
      <c r="AO239" s="459" t="str">
        <f>IFERROR(INDEX(V!$R:$R,MATCH(AP239,V!$L:$L,0)),"")</f>
        <v/>
      </c>
      <c r="AP239" s="460" t="str">
        <f t="shared" si="31"/>
        <v/>
      </c>
    </row>
    <row r="240" spans="1:42"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58">
        <f t="shared" si="32"/>
        <v>0</v>
      </c>
      <c r="AE240" s="459" t="str">
        <f>IFERROR(INDEX(V!$R:$R,MATCH(AF240,V!$L:$L,0)),"")</f>
        <v/>
      </c>
      <c r="AF240" s="460" t="str">
        <f t="shared" si="26"/>
        <v/>
      </c>
      <c r="AG240" s="459" t="str">
        <f>IFERROR(INDEX(V!$R:$R,MATCH(AH240,V!$L:$L,0)),"")</f>
        <v/>
      </c>
      <c r="AH240" s="460" t="str">
        <f t="shared" si="27"/>
        <v/>
      </c>
      <c r="AI240" s="459" t="str">
        <f>IFERROR(INDEX(V!$R:$R,MATCH(AJ240,V!$L:$L,0)),"")</f>
        <v/>
      </c>
      <c r="AJ240" s="460" t="str">
        <f t="shared" si="28"/>
        <v/>
      </c>
      <c r="AK240" s="459" t="str">
        <f>IFERROR(INDEX(V!$R:$R,MATCH(AL240,V!$L:$L,0)),"")</f>
        <v/>
      </c>
      <c r="AL240" s="460" t="str">
        <f t="shared" si="29"/>
        <v/>
      </c>
      <c r="AM240" s="459" t="str">
        <f>IFERROR(INDEX(V!$R:$R,MATCH(AN240,V!$L:$L,0)),"")</f>
        <v/>
      </c>
      <c r="AN240" s="460" t="str">
        <f t="shared" si="30"/>
        <v/>
      </c>
      <c r="AO240" s="459" t="str">
        <f>IFERROR(INDEX(V!$R:$R,MATCH(AP240,V!$L:$L,0)),"")</f>
        <v/>
      </c>
      <c r="AP240" s="460" t="str">
        <f t="shared" si="31"/>
        <v/>
      </c>
    </row>
    <row r="241" spans="1:42"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58">
        <f t="shared" si="32"/>
        <v>0</v>
      </c>
      <c r="AE241" s="459" t="str">
        <f>IFERROR(INDEX(V!$R:$R,MATCH(AF241,V!$L:$L,0)),"")</f>
        <v/>
      </c>
      <c r="AF241" s="460" t="str">
        <f t="shared" si="26"/>
        <v/>
      </c>
      <c r="AG241" s="459" t="str">
        <f>IFERROR(INDEX(V!$R:$R,MATCH(AH241,V!$L:$L,0)),"")</f>
        <v/>
      </c>
      <c r="AH241" s="460" t="str">
        <f t="shared" si="27"/>
        <v/>
      </c>
      <c r="AI241" s="459" t="str">
        <f>IFERROR(INDEX(V!$R:$R,MATCH(AJ241,V!$L:$L,0)),"")</f>
        <v/>
      </c>
      <c r="AJ241" s="460" t="str">
        <f t="shared" si="28"/>
        <v/>
      </c>
      <c r="AK241" s="459" t="str">
        <f>IFERROR(INDEX(V!$R:$R,MATCH(AL241,V!$L:$L,0)),"")</f>
        <v/>
      </c>
      <c r="AL241" s="460" t="str">
        <f t="shared" si="29"/>
        <v/>
      </c>
      <c r="AM241" s="459" t="str">
        <f>IFERROR(INDEX(V!$R:$R,MATCH(AN241,V!$L:$L,0)),"")</f>
        <v/>
      </c>
      <c r="AN241" s="460" t="str">
        <f t="shared" si="30"/>
        <v/>
      </c>
      <c r="AO241" s="459" t="str">
        <f>IFERROR(INDEX(V!$R:$R,MATCH(AP241,V!$L:$L,0)),"")</f>
        <v/>
      </c>
      <c r="AP241" s="460" t="str">
        <f t="shared" si="31"/>
        <v/>
      </c>
    </row>
    <row r="242" spans="1:42"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58">
        <f t="shared" si="32"/>
        <v>0</v>
      </c>
      <c r="AE242" s="459" t="str">
        <f>IFERROR(INDEX(V!$R:$R,MATCH(AF242,V!$L:$L,0)),"")</f>
        <v/>
      </c>
      <c r="AF242" s="460" t="str">
        <f t="shared" si="26"/>
        <v/>
      </c>
      <c r="AG242" s="459" t="str">
        <f>IFERROR(INDEX(V!$R:$R,MATCH(AH242,V!$L:$L,0)),"")</f>
        <v/>
      </c>
      <c r="AH242" s="460" t="str">
        <f t="shared" si="27"/>
        <v/>
      </c>
      <c r="AI242" s="459" t="str">
        <f>IFERROR(INDEX(V!$R:$R,MATCH(AJ242,V!$L:$L,0)),"")</f>
        <v/>
      </c>
      <c r="AJ242" s="460" t="str">
        <f t="shared" si="28"/>
        <v/>
      </c>
      <c r="AK242" s="459" t="str">
        <f>IFERROR(INDEX(V!$R:$R,MATCH(AL242,V!$L:$L,0)),"")</f>
        <v/>
      </c>
      <c r="AL242" s="460" t="str">
        <f t="shared" si="29"/>
        <v/>
      </c>
      <c r="AM242" s="459" t="str">
        <f>IFERROR(INDEX(V!$R:$R,MATCH(AN242,V!$L:$L,0)),"")</f>
        <v/>
      </c>
      <c r="AN242" s="460" t="str">
        <f t="shared" si="30"/>
        <v/>
      </c>
      <c r="AO242" s="459" t="str">
        <f>IFERROR(INDEX(V!$R:$R,MATCH(AP242,V!$L:$L,0)),"")</f>
        <v/>
      </c>
      <c r="AP242" s="460" t="str">
        <f t="shared" si="31"/>
        <v/>
      </c>
    </row>
    <row r="243" spans="1:42"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58">
        <f t="shared" si="32"/>
        <v>0</v>
      </c>
      <c r="AE243" s="459" t="str">
        <f>IFERROR(INDEX(V!$R:$R,MATCH(AF243,V!$L:$L,0)),"")</f>
        <v/>
      </c>
      <c r="AF243" s="460" t="str">
        <f t="shared" si="26"/>
        <v/>
      </c>
      <c r="AG243" s="459" t="str">
        <f>IFERROR(INDEX(V!$R:$R,MATCH(AH243,V!$L:$L,0)),"")</f>
        <v/>
      </c>
      <c r="AH243" s="460" t="str">
        <f t="shared" si="27"/>
        <v/>
      </c>
      <c r="AI243" s="459" t="str">
        <f>IFERROR(INDEX(V!$R:$R,MATCH(AJ243,V!$L:$L,0)),"")</f>
        <v/>
      </c>
      <c r="AJ243" s="460" t="str">
        <f t="shared" si="28"/>
        <v/>
      </c>
      <c r="AK243" s="459" t="str">
        <f>IFERROR(INDEX(V!$R:$R,MATCH(AL243,V!$L:$L,0)),"")</f>
        <v/>
      </c>
      <c r="AL243" s="460" t="str">
        <f t="shared" si="29"/>
        <v/>
      </c>
      <c r="AM243" s="459" t="str">
        <f>IFERROR(INDEX(V!$R:$R,MATCH(AN243,V!$L:$L,0)),"")</f>
        <v/>
      </c>
      <c r="AN243" s="460" t="str">
        <f t="shared" si="30"/>
        <v/>
      </c>
      <c r="AO243" s="459" t="str">
        <f>IFERROR(INDEX(V!$R:$R,MATCH(AP243,V!$L:$L,0)),"")</f>
        <v/>
      </c>
      <c r="AP243" s="460" t="str">
        <f t="shared" si="31"/>
        <v/>
      </c>
    </row>
    <row r="244" spans="1:42"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58">
        <f t="shared" si="32"/>
        <v>0</v>
      </c>
      <c r="AE244" s="459" t="str">
        <f>IFERROR(INDEX(V!$R:$R,MATCH(AF244,V!$L:$L,0)),"")</f>
        <v/>
      </c>
      <c r="AF244" s="460" t="str">
        <f t="shared" si="26"/>
        <v/>
      </c>
      <c r="AG244" s="459" t="str">
        <f>IFERROR(INDEX(V!$R:$R,MATCH(AH244,V!$L:$L,0)),"")</f>
        <v/>
      </c>
      <c r="AH244" s="460" t="str">
        <f t="shared" si="27"/>
        <v/>
      </c>
      <c r="AI244" s="459" t="str">
        <f>IFERROR(INDEX(V!$R:$R,MATCH(AJ244,V!$L:$L,0)),"")</f>
        <v/>
      </c>
      <c r="AJ244" s="460" t="str">
        <f t="shared" si="28"/>
        <v/>
      </c>
      <c r="AK244" s="459" t="str">
        <f>IFERROR(INDEX(V!$R:$R,MATCH(AL244,V!$L:$L,0)),"")</f>
        <v/>
      </c>
      <c r="AL244" s="460" t="str">
        <f t="shared" si="29"/>
        <v/>
      </c>
      <c r="AM244" s="459" t="str">
        <f>IFERROR(INDEX(V!$R:$R,MATCH(AN244,V!$L:$L,0)),"")</f>
        <v/>
      </c>
      <c r="AN244" s="460" t="str">
        <f t="shared" si="30"/>
        <v/>
      </c>
      <c r="AO244" s="459" t="str">
        <f>IFERROR(INDEX(V!$R:$R,MATCH(AP244,V!$L:$L,0)),"")</f>
        <v/>
      </c>
      <c r="AP244" s="460" t="str">
        <f t="shared" si="31"/>
        <v/>
      </c>
    </row>
    <row r="245" spans="1:42"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58">
        <f t="shared" si="32"/>
        <v>0</v>
      </c>
      <c r="AE245" s="459" t="str">
        <f>IFERROR(INDEX(V!$R:$R,MATCH(AF245,V!$L:$L,0)),"")</f>
        <v/>
      </c>
      <c r="AF245" s="460" t="str">
        <f t="shared" si="26"/>
        <v/>
      </c>
      <c r="AG245" s="459" t="str">
        <f>IFERROR(INDEX(V!$R:$R,MATCH(AH245,V!$L:$L,0)),"")</f>
        <v/>
      </c>
      <c r="AH245" s="460" t="str">
        <f t="shared" si="27"/>
        <v/>
      </c>
      <c r="AI245" s="459" t="str">
        <f>IFERROR(INDEX(V!$R:$R,MATCH(AJ245,V!$L:$L,0)),"")</f>
        <v/>
      </c>
      <c r="AJ245" s="460" t="str">
        <f t="shared" si="28"/>
        <v/>
      </c>
      <c r="AK245" s="459" t="str">
        <f>IFERROR(INDEX(V!$R:$R,MATCH(AL245,V!$L:$L,0)),"")</f>
        <v/>
      </c>
      <c r="AL245" s="460" t="str">
        <f t="shared" si="29"/>
        <v/>
      </c>
      <c r="AM245" s="459" t="str">
        <f>IFERROR(INDEX(V!$R:$R,MATCH(AN245,V!$L:$L,0)),"")</f>
        <v/>
      </c>
      <c r="AN245" s="460" t="str">
        <f t="shared" si="30"/>
        <v/>
      </c>
      <c r="AO245" s="459" t="str">
        <f>IFERROR(INDEX(V!$R:$R,MATCH(AP245,V!$L:$L,0)),"")</f>
        <v/>
      </c>
      <c r="AP245" s="460" t="str">
        <f t="shared" si="31"/>
        <v/>
      </c>
    </row>
    <row r="246" spans="1:42"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58">
        <f t="shared" si="32"/>
        <v>0</v>
      </c>
      <c r="AE246" s="459" t="str">
        <f>IFERROR(INDEX(V!$R:$R,MATCH(AF246,V!$L:$L,0)),"")</f>
        <v/>
      </c>
      <c r="AF246" s="460" t="str">
        <f t="shared" si="26"/>
        <v/>
      </c>
      <c r="AG246" s="459" t="str">
        <f>IFERROR(INDEX(V!$R:$R,MATCH(AH246,V!$L:$L,0)),"")</f>
        <v/>
      </c>
      <c r="AH246" s="460" t="str">
        <f t="shared" si="27"/>
        <v/>
      </c>
      <c r="AI246" s="459" t="str">
        <f>IFERROR(INDEX(V!$R:$R,MATCH(AJ246,V!$L:$L,0)),"")</f>
        <v/>
      </c>
      <c r="AJ246" s="460" t="str">
        <f t="shared" si="28"/>
        <v/>
      </c>
      <c r="AK246" s="459" t="str">
        <f>IFERROR(INDEX(V!$R:$R,MATCH(AL246,V!$L:$L,0)),"")</f>
        <v/>
      </c>
      <c r="AL246" s="460" t="str">
        <f t="shared" si="29"/>
        <v/>
      </c>
      <c r="AM246" s="459" t="str">
        <f>IFERROR(INDEX(V!$R:$R,MATCH(AN246,V!$L:$L,0)),"")</f>
        <v/>
      </c>
      <c r="AN246" s="460" t="str">
        <f t="shared" si="30"/>
        <v/>
      </c>
      <c r="AO246" s="459" t="str">
        <f>IFERROR(INDEX(V!$R:$R,MATCH(AP246,V!$L:$L,0)),"")</f>
        <v/>
      </c>
      <c r="AP246" s="460" t="str">
        <f t="shared" si="31"/>
        <v/>
      </c>
    </row>
    <row r="247" spans="1:42"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58">
        <f t="shared" si="32"/>
        <v>0</v>
      </c>
      <c r="AE247" s="459" t="str">
        <f>IFERROR(INDEX(V!$R:$R,MATCH(AF247,V!$L:$L,0)),"")</f>
        <v/>
      </c>
      <c r="AF247" s="460" t="str">
        <f t="shared" si="26"/>
        <v/>
      </c>
      <c r="AG247" s="459" t="str">
        <f>IFERROR(INDEX(V!$R:$R,MATCH(AH247,V!$L:$L,0)),"")</f>
        <v/>
      </c>
      <c r="AH247" s="460" t="str">
        <f t="shared" si="27"/>
        <v/>
      </c>
      <c r="AI247" s="459" t="str">
        <f>IFERROR(INDEX(V!$R:$R,MATCH(AJ247,V!$L:$L,0)),"")</f>
        <v/>
      </c>
      <c r="AJ247" s="460" t="str">
        <f t="shared" si="28"/>
        <v/>
      </c>
      <c r="AK247" s="459" t="str">
        <f>IFERROR(INDEX(V!$R:$R,MATCH(AL247,V!$L:$L,0)),"")</f>
        <v/>
      </c>
      <c r="AL247" s="460" t="str">
        <f t="shared" si="29"/>
        <v/>
      </c>
      <c r="AM247" s="459" t="str">
        <f>IFERROR(INDEX(V!$R:$R,MATCH(AN247,V!$L:$L,0)),"")</f>
        <v/>
      </c>
      <c r="AN247" s="460" t="str">
        <f t="shared" si="30"/>
        <v/>
      </c>
      <c r="AO247" s="459" t="str">
        <f>IFERROR(INDEX(V!$R:$R,MATCH(AP247,V!$L:$L,0)),"")</f>
        <v/>
      </c>
      <c r="AP247" s="460" t="str">
        <f t="shared" si="31"/>
        <v/>
      </c>
    </row>
    <row r="248" spans="1:42"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58">
        <f t="shared" si="32"/>
        <v>0</v>
      </c>
      <c r="AE248" s="459" t="str">
        <f>IFERROR(INDEX(V!$R:$R,MATCH(AF248,V!$L:$L,0)),"")</f>
        <v/>
      </c>
      <c r="AF248" s="460" t="str">
        <f t="shared" si="26"/>
        <v/>
      </c>
      <c r="AG248" s="459" t="str">
        <f>IFERROR(INDEX(V!$R:$R,MATCH(AH248,V!$L:$L,0)),"")</f>
        <v/>
      </c>
      <c r="AH248" s="460" t="str">
        <f t="shared" si="27"/>
        <v/>
      </c>
      <c r="AI248" s="459" t="str">
        <f>IFERROR(INDEX(V!$R:$R,MATCH(AJ248,V!$L:$L,0)),"")</f>
        <v/>
      </c>
      <c r="AJ248" s="460" t="str">
        <f t="shared" si="28"/>
        <v/>
      </c>
      <c r="AK248" s="459" t="str">
        <f>IFERROR(INDEX(V!$R:$R,MATCH(AL248,V!$L:$L,0)),"")</f>
        <v/>
      </c>
      <c r="AL248" s="460" t="str">
        <f t="shared" si="29"/>
        <v/>
      </c>
      <c r="AM248" s="459" t="str">
        <f>IFERROR(INDEX(V!$R:$R,MATCH(AN248,V!$L:$L,0)),"")</f>
        <v/>
      </c>
      <c r="AN248" s="460" t="str">
        <f t="shared" si="30"/>
        <v/>
      </c>
      <c r="AO248" s="459" t="str">
        <f>IFERROR(INDEX(V!$R:$R,MATCH(AP248,V!$L:$L,0)),"")</f>
        <v/>
      </c>
      <c r="AP248" s="460" t="str">
        <f t="shared" si="31"/>
        <v/>
      </c>
    </row>
    <row r="249" spans="1:42"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58">
        <f t="shared" si="32"/>
        <v>0</v>
      </c>
      <c r="AE249" s="459" t="str">
        <f>IFERROR(INDEX(V!$R:$R,MATCH(AF249,V!$L:$L,0)),"")</f>
        <v/>
      </c>
      <c r="AF249" s="460" t="str">
        <f t="shared" si="26"/>
        <v/>
      </c>
      <c r="AG249" s="459" t="str">
        <f>IFERROR(INDEX(V!$R:$R,MATCH(AH249,V!$L:$L,0)),"")</f>
        <v/>
      </c>
      <c r="AH249" s="460" t="str">
        <f t="shared" si="27"/>
        <v/>
      </c>
      <c r="AI249" s="459" t="str">
        <f>IFERROR(INDEX(V!$R:$R,MATCH(AJ249,V!$L:$L,0)),"")</f>
        <v/>
      </c>
      <c r="AJ249" s="460" t="str">
        <f t="shared" si="28"/>
        <v/>
      </c>
      <c r="AK249" s="459" t="str">
        <f>IFERROR(INDEX(V!$R:$R,MATCH(AL249,V!$L:$L,0)),"")</f>
        <v/>
      </c>
      <c r="AL249" s="460" t="str">
        <f t="shared" si="29"/>
        <v/>
      </c>
      <c r="AM249" s="459" t="str">
        <f>IFERROR(INDEX(V!$R:$R,MATCH(AN249,V!$L:$L,0)),"")</f>
        <v/>
      </c>
      <c r="AN249" s="460" t="str">
        <f t="shared" si="30"/>
        <v/>
      </c>
      <c r="AO249" s="459" t="str">
        <f>IFERROR(INDEX(V!$R:$R,MATCH(AP249,V!$L:$L,0)),"")</f>
        <v/>
      </c>
      <c r="AP249" s="460" t="str">
        <f t="shared" si="31"/>
        <v/>
      </c>
    </row>
    <row r="250" spans="1:42"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58">
        <f t="shared" si="32"/>
        <v>0</v>
      </c>
      <c r="AE250" s="459" t="str">
        <f>IFERROR(INDEX(V!$R:$R,MATCH(AF250,V!$L:$L,0)),"")</f>
        <v/>
      </c>
      <c r="AF250" s="460" t="str">
        <f t="shared" si="26"/>
        <v/>
      </c>
      <c r="AG250" s="459" t="str">
        <f>IFERROR(INDEX(V!$R:$R,MATCH(AH250,V!$L:$L,0)),"")</f>
        <v/>
      </c>
      <c r="AH250" s="460" t="str">
        <f t="shared" si="27"/>
        <v/>
      </c>
      <c r="AI250" s="459" t="str">
        <f>IFERROR(INDEX(V!$R:$R,MATCH(AJ250,V!$L:$L,0)),"")</f>
        <v/>
      </c>
      <c r="AJ250" s="460" t="str">
        <f t="shared" si="28"/>
        <v/>
      </c>
      <c r="AK250" s="459" t="str">
        <f>IFERROR(INDEX(V!$R:$R,MATCH(AL250,V!$L:$L,0)),"")</f>
        <v/>
      </c>
      <c r="AL250" s="460" t="str">
        <f t="shared" si="29"/>
        <v/>
      </c>
      <c r="AM250" s="459" t="str">
        <f>IFERROR(INDEX(V!$R:$R,MATCH(AN250,V!$L:$L,0)),"")</f>
        <v/>
      </c>
      <c r="AN250" s="460" t="str">
        <f t="shared" si="30"/>
        <v/>
      </c>
      <c r="AO250" s="459" t="str">
        <f>IFERROR(INDEX(V!$R:$R,MATCH(AP250,V!$L:$L,0)),"")</f>
        <v/>
      </c>
      <c r="AP250" s="460" t="str">
        <f t="shared" si="31"/>
        <v/>
      </c>
    </row>
    <row r="251" spans="1:42"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58">
        <f t="shared" si="32"/>
        <v>0</v>
      </c>
      <c r="AE251" s="459" t="str">
        <f>IFERROR(INDEX(V!$R:$R,MATCH(AF251,V!$L:$L,0)),"")</f>
        <v/>
      </c>
      <c r="AF251" s="460" t="str">
        <f t="shared" si="26"/>
        <v/>
      </c>
      <c r="AG251" s="459" t="str">
        <f>IFERROR(INDEX(V!$R:$R,MATCH(AH251,V!$L:$L,0)),"")</f>
        <v/>
      </c>
      <c r="AH251" s="460" t="str">
        <f t="shared" si="27"/>
        <v/>
      </c>
      <c r="AI251" s="459" t="str">
        <f>IFERROR(INDEX(V!$R:$R,MATCH(AJ251,V!$L:$L,0)),"")</f>
        <v/>
      </c>
      <c r="AJ251" s="460" t="str">
        <f t="shared" si="28"/>
        <v/>
      </c>
      <c r="AK251" s="459" t="str">
        <f>IFERROR(INDEX(V!$R:$R,MATCH(AL251,V!$L:$L,0)),"")</f>
        <v/>
      </c>
      <c r="AL251" s="460" t="str">
        <f t="shared" si="29"/>
        <v/>
      </c>
      <c r="AM251" s="459" t="str">
        <f>IFERROR(INDEX(V!$R:$R,MATCH(AN251,V!$L:$L,0)),"")</f>
        <v/>
      </c>
      <c r="AN251" s="460" t="str">
        <f t="shared" si="30"/>
        <v/>
      </c>
      <c r="AO251" s="459" t="str">
        <f>IFERROR(INDEX(V!$R:$R,MATCH(AP251,V!$L:$L,0)),"")</f>
        <v/>
      </c>
      <c r="AP251" s="460" t="str">
        <f t="shared" si="31"/>
        <v/>
      </c>
    </row>
    <row r="252" spans="1:42"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58">
        <f t="shared" si="32"/>
        <v>0</v>
      </c>
      <c r="AE252" s="459" t="str">
        <f>IFERROR(INDEX(V!$R:$R,MATCH(AF252,V!$L:$L,0)),"")</f>
        <v/>
      </c>
      <c r="AF252" s="460" t="str">
        <f t="shared" si="26"/>
        <v/>
      </c>
      <c r="AG252" s="459" t="str">
        <f>IFERROR(INDEX(V!$R:$R,MATCH(AH252,V!$L:$L,0)),"")</f>
        <v/>
      </c>
      <c r="AH252" s="460" t="str">
        <f t="shared" si="27"/>
        <v/>
      </c>
      <c r="AI252" s="459" t="str">
        <f>IFERROR(INDEX(V!$R:$R,MATCH(AJ252,V!$L:$L,0)),"")</f>
        <v/>
      </c>
      <c r="AJ252" s="460" t="str">
        <f t="shared" si="28"/>
        <v/>
      </c>
      <c r="AK252" s="459" t="str">
        <f>IFERROR(INDEX(V!$R:$R,MATCH(AL252,V!$L:$L,0)),"")</f>
        <v/>
      </c>
      <c r="AL252" s="460" t="str">
        <f t="shared" si="29"/>
        <v/>
      </c>
      <c r="AM252" s="459" t="str">
        <f>IFERROR(INDEX(V!$R:$R,MATCH(AN252,V!$L:$L,0)),"")</f>
        <v/>
      </c>
      <c r="AN252" s="460" t="str">
        <f t="shared" si="30"/>
        <v/>
      </c>
      <c r="AO252" s="459" t="str">
        <f>IFERROR(INDEX(V!$R:$R,MATCH(AP252,V!$L:$L,0)),"")</f>
        <v/>
      </c>
      <c r="AP252" s="460" t="str">
        <f t="shared" si="31"/>
        <v/>
      </c>
    </row>
    <row r="253" spans="1:42"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58">
        <f t="shared" si="32"/>
        <v>0</v>
      </c>
      <c r="AE253" s="459" t="str">
        <f>IFERROR(INDEX(V!$R:$R,MATCH(AF253,V!$L:$L,0)),"")</f>
        <v/>
      </c>
      <c r="AF253" s="460" t="str">
        <f t="shared" si="26"/>
        <v/>
      </c>
      <c r="AG253" s="459" t="str">
        <f>IFERROR(INDEX(V!$R:$R,MATCH(AH253,V!$L:$L,0)),"")</f>
        <v/>
      </c>
      <c r="AH253" s="460" t="str">
        <f t="shared" si="27"/>
        <v/>
      </c>
      <c r="AI253" s="459" t="str">
        <f>IFERROR(INDEX(V!$R:$R,MATCH(AJ253,V!$L:$L,0)),"")</f>
        <v/>
      </c>
      <c r="AJ253" s="460" t="str">
        <f t="shared" si="28"/>
        <v/>
      </c>
      <c r="AK253" s="459" t="str">
        <f>IFERROR(INDEX(V!$R:$R,MATCH(AL253,V!$L:$L,0)),"")</f>
        <v/>
      </c>
      <c r="AL253" s="460" t="str">
        <f t="shared" si="29"/>
        <v/>
      </c>
      <c r="AM253" s="459" t="str">
        <f>IFERROR(INDEX(V!$R:$R,MATCH(AN253,V!$L:$L,0)),"")</f>
        <v/>
      </c>
      <c r="AN253" s="460" t="str">
        <f t="shared" si="30"/>
        <v/>
      </c>
      <c r="AO253" s="459" t="str">
        <f>IFERROR(INDEX(V!$R:$R,MATCH(AP253,V!$L:$L,0)),"")</f>
        <v/>
      </c>
      <c r="AP253" s="460" t="str">
        <f t="shared" si="31"/>
        <v/>
      </c>
    </row>
    <row r="254" spans="1:42"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58">
        <f t="shared" si="32"/>
        <v>0</v>
      </c>
      <c r="AE254" s="459" t="str">
        <f>IFERROR(INDEX(V!$R:$R,MATCH(AF254,V!$L:$L,0)),"")</f>
        <v/>
      </c>
      <c r="AF254" s="460" t="str">
        <f t="shared" si="26"/>
        <v/>
      </c>
      <c r="AG254" s="459" t="str">
        <f>IFERROR(INDEX(V!$R:$R,MATCH(AH254,V!$L:$L,0)),"")</f>
        <v/>
      </c>
      <c r="AH254" s="460" t="str">
        <f t="shared" si="27"/>
        <v/>
      </c>
      <c r="AI254" s="459" t="str">
        <f>IFERROR(INDEX(V!$R:$R,MATCH(AJ254,V!$L:$L,0)),"")</f>
        <v/>
      </c>
      <c r="AJ254" s="460" t="str">
        <f t="shared" si="28"/>
        <v/>
      </c>
      <c r="AK254" s="459" t="str">
        <f>IFERROR(INDEX(V!$R:$R,MATCH(AL254,V!$L:$L,0)),"")</f>
        <v/>
      </c>
      <c r="AL254" s="460" t="str">
        <f t="shared" si="29"/>
        <v/>
      </c>
      <c r="AM254" s="459" t="str">
        <f>IFERROR(INDEX(V!$R:$R,MATCH(AN254,V!$L:$L,0)),"")</f>
        <v/>
      </c>
      <c r="AN254" s="460" t="str">
        <f t="shared" si="30"/>
        <v/>
      </c>
      <c r="AO254" s="459" t="str">
        <f>IFERROR(INDEX(V!$R:$R,MATCH(AP254,V!$L:$L,0)),"")</f>
        <v/>
      </c>
      <c r="AP254" s="460" t="str">
        <f t="shared" si="31"/>
        <v/>
      </c>
    </row>
    <row r="255" spans="1:42"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58">
        <f t="shared" si="32"/>
        <v>0</v>
      </c>
      <c r="AE255" s="459" t="str">
        <f>IFERROR(INDEX(V!$R:$R,MATCH(AF255,V!$L:$L,0)),"")</f>
        <v/>
      </c>
      <c r="AF255" s="460" t="str">
        <f t="shared" si="26"/>
        <v/>
      </c>
      <c r="AG255" s="459" t="str">
        <f>IFERROR(INDEX(V!$R:$R,MATCH(AH255,V!$L:$L,0)),"")</f>
        <v/>
      </c>
      <c r="AH255" s="460" t="str">
        <f t="shared" si="27"/>
        <v/>
      </c>
      <c r="AI255" s="459" t="str">
        <f>IFERROR(INDEX(V!$R:$R,MATCH(AJ255,V!$L:$L,0)),"")</f>
        <v/>
      </c>
      <c r="AJ255" s="460" t="str">
        <f t="shared" si="28"/>
        <v/>
      </c>
      <c r="AK255" s="459" t="str">
        <f>IFERROR(INDEX(V!$R:$R,MATCH(AL255,V!$L:$L,0)),"")</f>
        <v/>
      </c>
      <c r="AL255" s="460" t="str">
        <f t="shared" si="29"/>
        <v/>
      </c>
      <c r="AM255" s="459" t="str">
        <f>IFERROR(INDEX(V!$R:$R,MATCH(AN255,V!$L:$L,0)),"")</f>
        <v/>
      </c>
      <c r="AN255" s="460" t="str">
        <f t="shared" si="30"/>
        <v/>
      </c>
      <c r="AO255" s="459" t="str">
        <f>IFERROR(INDEX(V!$R:$R,MATCH(AP255,V!$L:$L,0)),"")</f>
        <v/>
      </c>
      <c r="AP255" s="460" t="str">
        <f t="shared" si="31"/>
        <v/>
      </c>
    </row>
    <row r="256" spans="1:42"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58">
        <f t="shared" si="32"/>
        <v>0</v>
      </c>
      <c r="AE256" s="459" t="str">
        <f>IFERROR(INDEX(V!$R:$R,MATCH(AF256,V!$L:$L,0)),"")</f>
        <v/>
      </c>
      <c r="AF256" s="460" t="str">
        <f t="shared" si="26"/>
        <v/>
      </c>
      <c r="AG256" s="459" t="str">
        <f>IFERROR(INDEX(V!$R:$R,MATCH(AH256,V!$L:$L,0)),"")</f>
        <v/>
      </c>
      <c r="AH256" s="460" t="str">
        <f t="shared" si="27"/>
        <v/>
      </c>
      <c r="AI256" s="459" t="str">
        <f>IFERROR(INDEX(V!$R:$R,MATCH(AJ256,V!$L:$L,0)),"")</f>
        <v/>
      </c>
      <c r="AJ256" s="460" t="str">
        <f t="shared" si="28"/>
        <v/>
      </c>
      <c r="AK256" s="459" t="str">
        <f>IFERROR(INDEX(V!$R:$R,MATCH(AL256,V!$L:$L,0)),"")</f>
        <v/>
      </c>
      <c r="AL256" s="460" t="str">
        <f t="shared" si="29"/>
        <v/>
      </c>
      <c r="AM256" s="459" t="str">
        <f>IFERROR(INDEX(V!$R:$R,MATCH(AN256,V!$L:$L,0)),"")</f>
        <v/>
      </c>
      <c r="AN256" s="460" t="str">
        <f t="shared" si="30"/>
        <v/>
      </c>
      <c r="AO256" s="459" t="str">
        <f>IFERROR(INDEX(V!$R:$R,MATCH(AP256,V!$L:$L,0)),"")</f>
        <v/>
      </c>
      <c r="AP256" s="460" t="str">
        <f t="shared" si="31"/>
        <v/>
      </c>
    </row>
    <row r="257" spans="1:42"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58">
        <f t="shared" si="32"/>
        <v>0</v>
      </c>
      <c r="AE257" s="459" t="str">
        <f>IFERROR(INDEX(V!$R:$R,MATCH(AF257,V!$L:$L,0)),"")</f>
        <v/>
      </c>
      <c r="AF257" s="460" t="str">
        <f t="shared" si="26"/>
        <v/>
      </c>
      <c r="AG257" s="459" t="str">
        <f>IFERROR(INDEX(V!$R:$R,MATCH(AH257,V!$L:$L,0)),"")</f>
        <v/>
      </c>
      <c r="AH257" s="460" t="str">
        <f t="shared" si="27"/>
        <v/>
      </c>
      <c r="AI257" s="459" t="str">
        <f>IFERROR(INDEX(V!$R:$R,MATCH(AJ257,V!$L:$L,0)),"")</f>
        <v/>
      </c>
      <c r="AJ257" s="460" t="str">
        <f t="shared" si="28"/>
        <v/>
      </c>
      <c r="AK257" s="459" t="str">
        <f>IFERROR(INDEX(V!$R:$R,MATCH(AL257,V!$L:$L,0)),"")</f>
        <v/>
      </c>
      <c r="AL257" s="460" t="str">
        <f t="shared" si="29"/>
        <v/>
      </c>
      <c r="AM257" s="459" t="str">
        <f>IFERROR(INDEX(V!$R:$R,MATCH(AN257,V!$L:$L,0)),"")</f>
        <v/>
      </c>
      <c r="AN257" s="460" t="str">
        <f t="shared" si="30"/>
        <v/>
      </c>
      <c r="AO257" s="459" t="str">
        <f>IFERROR(INDEX(V!$R:$R,MATCH(AP257,V!$L:$L,0)),"")</f>
        <v/>
      </c>
      <c r="AP257" s="460" t="str">
        <f t="shared" si="31"/>
        <v/>
      </c>
    </row>
    <row r="258" spans="1:42"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58">
        <f t="shared" si="32"/>
        <v>0</v>
      </c>
      <c r="AE258" s="459" t="str">
        <f>IFERROR(INDEX(V!$R:$R,MATCH(AF258,V!$L:$L,0)),"")</f>
        <v/>
      </c>
      <c r="AF258" s="460" t="str">
        <f t="shared" si="26"/>
        <v/>
      </c>
      <c r="AG258" s="459" t="str">
        <f>IFERROR(INDEX(V!$R:$R,MATCH(AH258,V!$L:$L,0)),"")</f>
        <v/>
      </c>
      <c r="AH258" s="460" t="str">
        <f t="shared" si="27"/>
        <v/>
      </c>
      <c r="AI258" s="459" t="str">
        <f>IFERROR(INDEX(V!$R:$R,MATCH(AJ258,V!$L:$L,0)),"")</f>
        <v/>
      </c>
      <c r="AJ258" s="460" t="str">
        <f t="shared" si="28"/>
        <v/>
      </c>
      <c r="AK258" s="459" t="str">
        <f>IFERROR(INDEX(V!$R:$R,MATCH(AL258,V!$L:$L,0)),"")</f>
        <v/>
      </c>
      <c r="AL258" s="460" t="str">
        <f t="shared" si="29"/>
        <v/>
      </c>
      <c r="AM258" s="459" t="str">
        <f>IFERROR(INDEX(V!$R:$R,MATCH(AN258,V!$L:$L,0)),"")</f>
        <v/>
      </c>
      <c r="AN258" s="460" t="str">
        <f t="shared" si="30"/>
        <v/>
      </c>
      <c r="AO258" s="459" t="str">
        <f>IFERROR(INDEX(V!$R:$R,MATCH(AP258,V!$L:$L,0)),"")</f>
        <v/>
      </c>
      <c r="AP258" s="460" t="str">
        <f t="shared" si="31"/>
        <v/>
      </c>
    </row>
    <row r="259" spans="1:42"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58">
        <f t="shared" si="32"/>
        <v>0</v>
      </c>
      <c r="AE259" s="459" t="str">
        <f>IFERROR(INDEX(V!$R:$R,MATCH(AF259,V!$L:$L,0)),"")</f>
        <v/>
      </c>
      <c r="AF259" s="460" t="str">
        <f t="shared" si="26"/>
        <v/>
      </c>
      <c r="AG259" s="459" t="str">
        <f>IFERROR(INDEX(V!$R:$R,MATCH(AH259,V!$L:$L,0)),"")</f>
        <v/>
      </c>
      <c r="AH259" s="460" t="str">
        <f t="shared" si="27"/>
        <v/>
      </c>
      <c r="AI259" s="459" t="str">
        <f>IFERROR(INDEX(V!$R:$R,MATCH(AJ259,V!$L:$L,0)),"")</f>
        <v/>
      </c>
      <c r="AJ259" s="460" t="str">
        <f t="shared" si="28"/>
        <v/>
      </c>
      <c r="AK259" s="459" t="str">
        <f>IFERROR(INDEX(V!$R:$R,MATCH(AL259,V!$L:$L,0)),"")</f>
        <v/>
      </c>
      <c r="AL259" s="460" t="str">
        <f t="shared" si="29"/>
        <v/>
      </c>
      <c r="AM259" s="459" t="str">
        <f>IFERROR(INDEX(V!$R:$R,MATCH(AN259,V!$L:$L,0)),"")</f>
        <v/>
      </c>
      <c r="AN259" s="460" t="str">
        <f t="shared" si="30"/>
        <v/>
      </c>
      <c r="AO259" s="459" t="str">
        <f>IFERROR(INDEX(V!$R:$R,MATCH(AP259,V!$L:$L,0)),"")</f>
        <v/>
      </c>
      <c r="AP259" s="460" t="str">
        <f t="shared" si="31"/>
        <v/>
      </c>
    </row>
    <row r="260" spans="1:42"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58">
        <f t="shared" si="32"/>
        <v>0</v>
      </c>
      <c r="AE260" s="459" t="str">
        <f>IFERROR(INDEX(V!$R:$R,MATCH(AF260,V!$L:$L,0)),"")</f>
        <v/>
      </c>
      <c r="AF260" s="460" t="str">
        <f t="shared" si="26"/>
        <v/>
      </c>
      <c r="AG260" s="459" t="str">
        <f>IFERROR(INDEX(V!$R:$R,MATCH(AH260,V!$L:$L,0)),"")</f>
        <v/>
      </c>
      <c r="AH260" s="460" t="str">
        <f t="shared" si="27"/>
        <v/>
      </c>
      <c r="AI260" s="459" t="str">
        <f>IFERROR(INDEX(V!$R:$R,MATCH(AJ260,V!$L:$L,0)),"")</f>
        <v/>
      </c>
      <c r="AJ260" s="460" t="str">
        <f t="shared" si="28"/>
        <v/>
      </c>
      <c r="AK260" s="459" t="str">
        <f>IFERROR(INDEX(V!$R:$R,MATCH(AL260,V!$L:$L,0)),"")</f>
        <v/>
      </c>
      <c r="AL260" s="460" t="str">
        <f t="shared" si="29"/>
        <v/>
      </c>
      <c r="AM260" s="459" t="str">
        <f>IFERROR(INDEX(V!$R:$R,MATCH(AN260,V!$L:$L,0)),"")</f>
        <v/>
      </c>
      <c r="AN260" s="460" t="str">
        <f t="shared" si="30"/>
        <v/>
      </c>
      <c r="AO260" s="459" t="str">
        <f>IFERROR(INDEX(V!$R:$R,MATCH(AP260,V!$L:$L,0)),"")</f>
        <v/>
      </c>
      <c r="AP260" s="460" t="str">
        <f t="shared" si="31"/>
        <v/>
      </c>
    </row>
    <row r="261" spans="1:42"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58">
        <f t="shared" si="32"/>
        <v>0</v>
      </c>
      <c r="AE261" s="459" t="str">
        <f>IFERROR(INDEX(V!$R:$R,MATCH(AF261,V!$L:$L,0)),"")</f>
        <v/>
      </c>
      <c r="AF261" s="460" t="str">
        <f t="shared" si="26"/>
        <v/>
      </c>
      <c r="AG261" s="459" t="str">
        <f>IFERROR(INDEX(V!$R:$R,MATCH(AH261,V!$L:$L,0)),"")</f>
        <v/>
      </c>
      <c r="AH261" s="460" t="str">
        <f t="shared" si="27"/>
        <v/>
      </c>
      <c r="AI261" s="459" t="str">
        <f>IFERROR(INDEX(V!$R:$R,MATCH(AJ261,V!$L:$L,0)),"")</f>
        <v/>
      </c>
      <c r="AJ261" s="460" t="str">
        <f t="shared" si="28"/>
        <v/>
      </c>
      <c r="AK261" s="459" t="str">
        <f>IFERROR(INDEX(V!$R:$R,MATCH(AL261,V!$L:$L,0)),"")</f>
        <v/>
      </c>
      <c r="AL261" s="460" t="str">
        <f t="shared" si="29"/>
        <v/>
      </c>
      <c r="AM261" s="459" t="str">
        <f>IFERROR(INDEX(V!$R:$R,MATCH(AN261,V!$L:$L,0)),"")</f>
        <v/>
      </c>
      <c r="AN261" s="460" t="str">
        <f t="shared" si="30"/>
        <v/>
      </c>
      <c r="AO261" s="459" t="str">
        <f>IFERROR(INDEX(V!$R:$R,MATCH(AP261,V!$L:$L,0)),"")</f>
        <v/>
      </c>
      <c r="AP261" s="460" t="str">
        <f t="shared" si="31"/>
        <v/>
      </c>
    </row>
    <row r="262" spans="1:42"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58">
        <f t="shared" si="32"/>
        <v>0</v>
      </c>
      <c r="AE262" s="459" t="str">
        <f>IFERROR(INDEX(V!$R:$R,MATCH(AF262,V!$L:$L,0)),"")</f>
        <v/>
      </c>
      <c r="AF262" s="460" t="str">
        <f t="shared" si="26"/>
        <v/>
      </c>
      <c r="AG262" s="459" t="str">
        <f>IFERROR(INDEX(V!$R:$R,MATCH(AH262,V!$L:$L,0)),"")</f>
        <v/>
      </c>
      <c r="AH262" s="460" t="str">
        <f t="shared" si="27"/>
        <v/>
      </c>
      <c r="AI262" s="459" t="str">
        <f>IFERROR(INDEX(V!$R:$R,MATCH(AJ262,V!$L:$L,0)),"")</f>
        <v/>
      </c>
      <c r="AJ262" s="460" t="str">
        <f t="shared" si="28"/>
        <v/>
      </c>
      <c r="AK262" s="459" t="str">
        <f>IFERROR(INDEX(V!$R:$R,MATCH(AL262,V!$L:$L,0)),"")</f>
        <v/>
      </c>
      <c r="AL262" s="460" t="str">
        <f t="shared" si="29"/>
        <v/>
      </c>
      <c r="AM262" s="459" t="str">
        <f>IFERROR(INDEX(V!$R:$R,MATCH(AN262,V!$L:$L,0)),"")</f>
        <v/>
      </c>
      <c r="AN262" s="460" t="str">
        <f t="shared" si="30"/>
        <v/>
      </c>
      <c r="AO262" s="459" t="str">
        <f>IFERROR(INDEX(V!$R:$R,MATCH(AP262,V!$L:$L,0)),"")</f>
        <v/>
      </c>
      <c r="AP262" s="460" t="str">
        <f t="shared" si="31"/>
        <v/>
      </c>
    </row>
    <row r="263" spans="1:42"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58">
        <f t="shared" si="32"/>
        <v>0</v>
      </c>
      <c r="AE263" s="459" t="str">
        <f>IFERROR(INDEX(V!$R:$R,MATCH(AF263,V!$L:$L,0)),"")</f>
        <v/>
      </c>
      <c r="AF263" s="460" t="str">
        <f t="shared" ref="AF263:AF297" si="33">IFERROR(LEFT($B263,(FIND(",",$B263,1)-1)),"")</f>
        <v/>
      </c>
      <c r="AG263" s="459" t="str">
        <f>IFERROR(INDEX(V!$R:$R,MATCH(AH263,V!$L:$L,0)),"")</f>
        <v/>
      </c>
      <c r="AH263" s="460" t="str">
        <f t="shared" ref="AH263:AH297" si="34">IFERROR(MID($B263,FIND(", ",$B263)+2,256),"")</f>
        <v/>
      </c>
      <c r="AI263" s="459" t="str">
        <f>IFERROR(INDEX(V!$R:$R,MATCH(AJ263,V!$L:$L,0)),"")</f>
        <v/>
      </c>
      <c r="AJ263" s="460" t="str">
        <f t="shared" ref="AJ263:AJ297" si="35">IFERROR(MID($B263,FIND("^",SUBSTITUTE($B263,", ","^",1))+2,FIND("^",SUBSTITUTE($B263,", ","^",2))-FIND("^",SUBSTITUTE($B263,", ","^",1))-2),"")</f>
        <v/>
      </c>
      <c r="AK263" s="459" t="str">
        <f>IFERROR(INDEX(V!$R:$R,MATCH(AL263,V!$L:$L,0)),"")</f>
        <v/>
      </c>
      <c r="AL263" s="460" t="str">
        <f t="shared" ref="AL263:AL297" si="36">IFERROR(MID($B263,FIND(", ",$B263,FIND(", ",$B263,FIND(", ",$B263))+1)+2,30000),"")</f>
        <v/>
      </c>
      <c r="AM263" s="459" t="str">
        <f>IFERROR(INDEX(V!$R:$R,MATCH(AN263,V!$L:$L,0)),"")</f>
        <v/>
      </c>
      <c r="AN263" s="460" t="str">
        <f t="shared" ref="AN263:AN297" si="37">IFERROR(MID($B263,FIND(", ",$B263,FIND(", ",$B263)+1)+2,FIND(", ",$B263,FIND(", ",$B263,FIND(", ",$B263)+1)+1)-FIND(", ",$B263,FIND(", ",$B263)+1)-2),"")</f>
        <v/>
      </c>
      <c r="AO263" s="459" t="str">
        <f>IFERROR(INDEX(V!$R:$R,MATCH(AP263,V!$L:$L,0)),"")</f>
        <v/>
      </c>
      <c r="AP263" s="460" t="str">
        <f t="shared" ref="AP263:AP297" si="38">IFERROR(MID($B263,FIND(", ",$B263,FIND(", ",$B263,FIND(", ",$B263)+1)+1)+2,30000),"")</f>
        <v/>
      </c>
    </row>
    <row r="264" spans="1:42"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58">
        <f t="shared" si="32"/>
        <v>0</v>
      </c>
      <c r="AE264" s="459" t="str">
        <f>IFERROR(INDEX(V!$R:$R,MATCH(AF264,V!$L:$L,0)),"")</f>
        <v/>
      </c>
      <c r="AF264" s="460" t="str">
        <f t="shared" si="33"/>
        <v/>
      </c>
      <c r="AG264" s="459" t="str">
        <f>IFERROR(INDEX(V!$R:$R,MATCH(AH264,V!$L:$L,0)),"")</f>
        <v/>
      </c>
      <c r="AH264" s="460" t="str">
        <f t="shared" si="34"/>
        <v/>
      </c>
      <c r="AI264" s="459" t="str">
        <f>IFERROR(INDEX(V!$R:$R,MATCH(AJ264,V!$L:$L,0)),"")</f>
        <v/>
      </c>
      <c r="AJ264" s="460" t="str">
        <f t="shared" si="35"/>
        <v/>
      </c>
      <c r="AK264" s="459" t="str">
        <f>IFERROR(INDEX(V!$R:$R,MATCH(AL264,V!$L:$L,0)),"")</f>
        <v/>
      </c>
      <c r="AL264" s="460" t="str">
        <f t="shared" si="36"/>
        <v/>
      </c>
      <c r="AM264" s="459" t="str">
        <f>IFERROR(INDEX(V!$R:$R,MATCH(AN264,V!$L:$L,0)),"")</f>
        <v/>
      </c>
      <c r="AN264" s="460" t="str">
        <f t="shared" si="37"/>
        <v/>
      </c>
      <c r="AO264" s="459" t="str">
        <f>IFERROR(INDEX(V!$R:$R,MATCH(AP264,V!$L:$L,0)),"")</f>
        <v/>
      </c>
      <c r="AP264" s="460" t="str">
        <f t="shared" si="38"/>
        <v/>
      </c>
    </row>
    <row r="265" spans="1:42"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58">
        <f t="shared" si="32"/>
        <v>0</v>
      </c>
      <c r="AE265" s="459" t="str">
        <f>IFERROR(INDEX(V!$R:$R,MATCH(AF265,V!$L:$L,0)),"")</f>
        <v/>
      </c>
      <c r="AF265" s="460" t="str">
        <f t="shared" si="33"/>
        <v/>
      </c>
      <c r="AG265" s="459" t="str">
        <f>IFERROR(INDEX(V!$R:$R,MATCH(AH265,V!$L:$L,0)),"")</f>
        <v/>
      </c>
      <c r="AH265" s="460" t="str">
        <f t="shared" si="34"/>
        <v/>
      </c>
      <c r="AI265" s="459" t="str">
        <f>IFERROR(INDEX(V!$R:$R,MATCH(AJ265,V!$L:$L,0)),"")</f>
        <v/>
      </c>
      <c r="AJ265" s="460" t="str">
        <f t="shared" si="35"/>
        <v/>
      </c>
      <c r="AK265" s="459" t="str">
        <f>IFERROR(INDEX(V!$R:$R,MATCH(AL265,V!$L:$L,0)),"")</f>
        <v/>
      </c>
      <c r="AL265" s="460" t="str">
        <f t="shared" si="36"/>
        <v/>
      </c>
      <c r="AM265" s="459" t="str">
        <f>IFERROR(INDEX(V!$R:$R,MATCH(AN265,V!$L:$L,0)),"")</f>
        <v/>
      </c>
      <c r="AN265" s="460" t="str">
        <f t="shared" si="37"/>
        <v/>
      </c>
      <c r="AO265" s="459" t="str">
        <f>IFERROR(INDEX(V!$R:$R,MATCH(AP265,V!$L:$L,0)),"")</f>
        <v/>
      </c>
      <c r="AP265" s="460" t="str">
        <f t="shared" si="38"/>
        <v/>
      </c>
    </row>
    <row r="266" spans="1:42"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58">
        <f t="shared" si="32"/>
        <v>0</v>
      </c>
      <c r="AE266" s="459" t="str">
        <f>IFERROR(INDEX(V!$R:$R,MATCH(AF266,V!$L:$L,0)),"")</f>
        <v/>
      </c>
      <c r="AF266" s="460" t="str">
        <f t="shared" si="33"/>
        <v/>
      </c>
      <c r="AG266" s="459" t="str">
        <f>IFERROR(INDEX(V!$R:$R,MATCH(AH266,V!$L:$L,0)),"")</f>
        <v/>
      </c>
      <c r="AH266" s="460" t="str">
        <f t="shared" si="34"/>
        <v/>
      </c>
      <c r="AI266" s="459" t="str">
        <f>IFERROR(INDEX(V!$R:$R,MATCH(AJ266,V!$L:$L,0)),"")</f>
        <v/>
      </c>
      <c r="AJ266" s="460" t="str">
        <f t="shared" si="35"/>
        <v/>
      </c>
      <c r="AK266" s="459" t="str">
        <f>IFERROR(INDEX(V!$R:$R,MATCH(AL266,V!$L:$L,0)),"")</f>
        <v/>
      </c>
      <c r="AL266" s="460" t="str">
        <f t="shared" si="36"/>
        <v/>
      </c>
      <c r="AM266" s="459" t="str">
        <f>IFERROR(INDEX(V!$R:$R,MATCH(AN266,V!$L:$L,0)),"")</f>
        <v/>
      </c>
      <c r="AN266" s="460" t="str">
        <f t="shared" si="37"/>
        <v/>
      </c>
      <c r="AO266" s="459" t="str">
        <f>IFERROR(INDEX(V!$R:$R,MATCH(AP266,V!$L:$L,0)),"")</f>
        <v/>
      </c>
      <c r="AP266" s="460" t="str">
        <f t="shared" si="38"/>
        <v/>
      </c>
    </row>
    <row r="267" spans="1:42"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58">
        <f t="shared" si="32"/>
        <v>0</v>
      </c>
      <c r="AE267" s="459" t="str">
        <f>IFERROR(INDEX(V!$R:$R,MATCH(AF267,V!$L:$L,0)),"")</f>
        <v/>
      </c>
      <c r="AF267" s="460" t="str">
        <f t="shared" si="33"/>
        <v/>
      </c>
      <c r="AG267" s="459" t="str">
        <f>IFERROR(INDEX(V!$R:$R,MATCH(AH267,V!$L:$L,0)),"")</f>
        <v/>
      </c>
      <c r="AH267" s="460" t="str">
        <f t="shared" si="34"/>
        <v/>
      </c>
      <c r="AI267" s="459" t="str">
        <f>IFERROR(INDEX(V!$R:$R,MATCH(AJ267,V!$L:$L,0)),"")</f>
        <v/>
      </c>
      <c r="AJ267" s="460" t="str">
        <f t="shared" si="35"/>
        <v/>
      </c>
      <c r="AK267" s="459" t="str">
        <f>IFERROR(INDEX(V!$R:$R,MATCH(AL267,V!$L:$L,0)),"")</f>
        <v/>
      </c>
      <c r="AL267" s="460" t="str">
        <f t="shared" si="36"/>
        <v/>
      </c>
      <c r="AM267" s="459" t="str">
        <f>IFERROR(INDEX(V!$R:$R,MATCH(AN267,V!$L:$L,0)),"")</f>
        <v/>
      </c>
      <c r="AN267" s="460" t="str">
        <f t="shared" si="37"/>
        <v/>
      </c>
      <c r="AO267" s="459" t="str">
        <f>IFERROR(INDEX(V!$R:$R,MATCH(AP267,V!$L:$L,0)),"")</f>
        <v/>
      </c>
      <c r="AP267" s="460" t="str">
        <f t="shared" si="38"/>
        <v/>
      </c>
    </row>
    <row r="268" spans="1:42"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58">
        <f t="shared" si="32"/>
        <v>0</v>
      </c>
      <c r="AE268" s="459" t="str">
        <f>IFERROR(INDEX(V!$R:$R,MATCH(AF268,V!$L:$L,0)),"")</f>
        <v/>
      </c>
      <c r="AF268" s="460" t="str">
        <f t="shared" si="33"/>
        <v/>
      </c>
      <c r="AG268" s="459" t="str">
        <f>IFERROR(INDEX(V!$R:$R,MATCH(AH268,V!$L:$L,0)),"")</f>
        <v/>
      </c>
      <c r="AH268" s="460" t="str">
        <f t="shared" si="34"/>
        <v/>
      </c>
      <c r="AI268" s="459" t="str">
        <f>IFERROR(INDEX(V!$R:$R,MATCH(AJ268,V!$L:$L,0)),"")</f>
        <v/>
      </c>
      <c r="AJ268" s="460" t="str">
        <f t="shared" si="35"/>
        <v/>
      </c>
      <c r="AK268" s="459" t="str">
        <f>IFERROR(INDEX(V!$R:$R,MATCH(AL268,V!$L:$L,0)),"")</f>
        <v/>
      </c>
      <c r="AL268" s="460" t="str">
        <f t="shared" si="36"/>
        <v/>
      </c>
      <c r="AM268" s="459" t="str">
        <f>IFERROR(INDEX(V!$R:$R,MATCH(AN268,V!$L:$L,0)),"")</f>
        <v/>
      </c>
      <c r="AN268" s="460" t="str">
        <f t="shared" si="37"/>
        <v/>
      </c>
      <c r="AO268" s="459" t="str">
        <f>IFERROR(INDEX(V!$R:$R,MATCH(AP268,V!$L:$L,0)),"")</f>
        <v/>
      </c>
      <c r="AP268" s="460" t="str">
        <f t="shared" si="38"/>
        <v/>
      </c>
    </row>
    <row r="269" spans="1:42"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58">
        <f t="shared" si="32"/>
        <v>0</v>
      </c>
      <c r="AE269" s="459" t="str">
        <f>IFERROR(INDEX(V!$R:$R,MATCH(AF269,V!$L:$L,0)),"")</f>
        <v/>
      </c>
      <c r="AF269" s="460" t="str">
        <f t="shared" si="33"/>
        <v/>
      </c>
      <c r="AG269" s="459" t="str">
        <f>IFERROR(INDEX(V!$R:$R,MATCH(AH269,V!$L:$L,0)),"")</f>
        <v/>
      </c>
      <c r="AH269" s="460" t="str">
        <f t="shared" si="34"/>
        <v/>
      </c>
      <c r="AI269" s="459" t="str">
        <f>IFERROR(INDEX(V!$R:$R,MATCH(AJ269,V!$L:$L,0)),"")</f>
        <v/>
      </c>
      <c r="AJ269" s="460" t="str">
        <f t="shared" si="35"/>
        <v/>
      </c>
      <c r="AK269" s="459" t="str">
        <f>IFERROR(INDEX(V!$R:$R,MATCH(AL269,V!$L:$L,0)),"")</f>
        <v/>
      </c>
      <c r="AL269" s="460" t="str">
        <f t="shared" si="36"/>
        <v/>
      </c>
      <c r="AM269" s="459" t="str">
        <f>IFERROR(INDEX(V!$R:$R,MATCH(AN269,V!$L:$L,0)),"")</f>
        <v/>
      </c>
      <c r="AN269" s="460" t="str">
        <f t="shared" si="37"/>
        <v/>
      </c>
      <c r="AO269" s="459" t="str">
        <f>IFERROR(INDEX(V!$R:$R,MATCH(AP269,V!$L:$L,0)),"")</f>
        <v/>
      </c>
      <c r="AP269" s="460" t="str">
        <f t="shared" si="38"/>
        <v/>
      </c>
    </row>
    <row r="270" spans="1:42"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58">
        <f t="shared" si="32"/>
        <v>0</v>
      </c>
      <c r="AE270" s="459" t="str">
        <f>IFERROR(INDEX(V!$R:$R,MATCH(AF270,V!$L:$L,0)),"")</f>
        <v/>
      </c>
      <c r="AF270" s="460" t="str">
        <f t="shared" si="33"/>
        <v/>
      </c>
      <c r="AG270" s="459" t="str">
        <f>IFERROR(INDEX(V!$R:$R,MATCH(AH270,V!$L:$L,0)),"")</f>
        <v/>
      </c>
      <c r="AH270" s="460" t="str">
        <f t="shared" si="34"/>
        <v/>
      </c>
      <c r="AI270" s="459" t="str">
        <f>IFERROR(INDEX(V!$R:$R,MATCH(AJ270,V!$L:$L,0)),"")</f>
        <v/>
      </c>
      <c r="AJ270" s="460" t="str">
        <f t="shared" si="35"/>
        <v/>
      </c>
      <c r="AK270" s="459" t="str">
        <f>IFERROR(INDEX(V!$R:$R,MATCH(AL270,V!$L:$L,0)),"")</f>
        <v/>
      </c>
      <c r="AL270" s="460" t="str">
        <f t="shared" si="36"/>
        <v/>
      </c>
      <c r="AM270" s="459" t="str">
        <f>IFERROR(INDEX(V!$R:$R,MATCH(AN270,V!$L:$L,0)),"")</f>
        <v/>
      </c>
      <c r="AN270" s="460" t="str">
        <f t="shared" si="37"/>
        <v/>
      </c>
      <c r="AO270" s="459" t="str">
        <f>IFERROR(INDEX(V!$R:$R,MATCH(AP270,V!$L:$L,0)),"")</f>
        <v/>
      </c>
      <c r="AP270" s="460" t="str">
        <f t="shared" si="38"/>
        <v/>
      </c>
    </row>
    <row r="271" spans="1:42"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58">
        <f t="shared" si="32"/>
        <v>0</v>
      </c>
      <c r="AE271" s="459" t="str">
        <f>IFERROR(INDEX(V!$R:$R,MATCH(AF271,V!$L:$L,0)),"")</f>
        <v/>
      </c>
      <c r="AF271" s="460" t="str">
        <f t="shared" si="33"/>
        <v/>
      </c>
      <c r="AG271" s="459" t="str">
        <f>IFERROR(INDEX(V!$R:$R,MATCH(AH271,V!$L:$L,0)),"")</f>
        <v/>
      </c>
      <c r="AH271" s="460" t="str">
        <f t="shared" si="34"/>
        <v/>
      </c>
      <c r="AI271" s="459" t="str">
        <f>IFERROR(INDEX(V!$R:$R,MATCH(AJ271,V!$L:$L,0)),"")</f>
        <v/>
      </c>
      <c r="AJ271" s="460" t="str">
        <f t="shared" si="35"/>
        <v/>
      </c>
      <c r="AK271" s="459" t="str">
        <f>IFERROR(INDEX(V!$R:$R,MATCH(AL271,V!$L:$L,0)),"")</f>
        <v/>
      </c>
      <c r="AL271" s="460" t="str">
        <f t="shared" si="36"/>
        <v/>
      </c>
      <c r="AM271" s="459" t="str">
        <f>IFERROR(INDEX(V!$R:$R,MATCH(AN271,V!$L:$L,0)),"")</f>
        <v/>
      </c>
      <c r="AN271" s="460" t="str">
        <f t="shared" si="37"/>
        <v/>
      </c>
      <c r="AO271" s="459" t="str">
        <f>IFERROR(INDEX(V!$R:$R,MATCH(AP271,V!$L:$L,0)),"")</f>
        <v/>
      </c>
      <c r="AP271" s="460" t="str">
        <f t="shared" si="38"/>
        <v/>
      </c>
    </row>
    <row r="272" spans="1:42"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58">
        <f t="shared" si="32"/>
        <v>0</v>
      </c>
      <c r="AE272" s="459" t="str">
        <f>IFERROR(INDEX(V!$R:$R,MATCH(AF272,V!$L:$L,0)),"")</f>
        <v/>
      </c>
      <c r="AF272" s="460" t="str">
        <f t="shared" si="33"/>
        <v/>
      </c>
      <c r="AG272" s="459" t="str">
        <f>IFERROR(INDEX(V!$R:$R,MATCH(AH272,V!$L:$L,0)),"")</f>
        <v/>
      </c>
      <c r="AH272" s="460" t="str">
        <f t="shared" si="34"/>
        <v/>
      </c>
      <c r="AI272" s="459" t="str">
        <f>IFERROR(INDEX(V!$R:$R,MATCH(AJ272,V!$L:$L,0)),"")</f>
        <v/>
      </c>
      <c r="AJ272" s="460" t="str">
        <f t="shared" si="35"/>
        <v/>
      </c>
      <c r="AK272" s="459" t="str">
        <f>IFERROR(INDEX(V!$R:$R,MATCH(AL272,V!$L:$L,0)),"")</f>
        <v/>
      </c>
      <c r="AL272" s="460" t="str">
        <f t="shared" si="36"/>
        <v/>
      </c>
      <c r="AM272" s="459" t="str">
        <f>IFERROR(INDEX(V!$R:$R,MATCH(AN272,V!$L:$L,0)),"")</f>
        <v/>
      </c>
      <c r="AN272" s="460" t="str">
        <f t="shared" si="37"/>
        <v/>
      </c>
      <c r="AO272" s="459" t="str">
        <f>IFERROR(INDEX(V!$R:$R,MATCH(AP272,V!$L:$L,0)),"")</f>
        <v/>
      </c>
      <c r="AP272" s="460" t="str">
        <f t="shared" si="38"/>
        <v/>
      </c>
    </row>
    <row r="273" spans="1:42"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58">
        <f t="shared" si="32"/>
        <v>0</v>
      </c>
      <c r="AE273" s="459" t="str">
        <f>IFERROR(INDEX(V!$R:$R,MATCH(AF273,V!$L:$L,0)),"")</f>
        <v/>
      </c>
      <c r="AF273" s="460" t="str">
        <f t="shared" si="33"/>
        <v/>
      </c>
      <c r="AG273" s="459" t="str">
        <f>IFERROR(INDEX(V!$R:$R,MATCH(AH273,V!$L:$L,0)),"")</f>
        <v/>
      </c>
      <c r="AH273" s="460" t="str">
        <f t="shared" si="34"/>
        <v/>
      </c>
      <c r="AI273" s="459" t="str">
        <f>IFERROR(INDEX(V!$R:$R,MATCH(AJ273,V!$L:$L,0)),"")</f>
        <v/>
      </c>
      <c r="AJ273" s="460" t="str">
        <f t="shared" si="35"/>
        <v/>
      </c>
      <c r="AK273" s="459" t="str">
        <f>IFERROR(INDEX(V!$R:$R,MATCH(AL273,V!$L:$L,0)),"")</f>
        <v/>
      </c>
      <c r="AL273" s="460" t="str">
        <f t="shared" si="36"/>
        <v/>
      </c>
      <c r="AM273" s="459" t="str">
        <f>IFERROR(INDEX(V!$R:$R,MATCH(AN273,V!$L:$L,0)),"")</f>
        <v/>
      </c>
      <c r="AN273" s="460" t="str">
        <f t="shared" si="37"/>
        <v/>
      </c>
      <c r="AO273" s="459" t="str">
        <f>IFERROR(INDEX(V!$R:$R,MATCH(AP273,V!$L:$L,0)),"")</f>
        <v/>
      </c>
      <c r="AP273" s="460" t="str">
        <f t="shared" si="38"/>
        <v/>
      </c>
    </row>
    <row r="274" spans="1:42"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58">
        <f t="shared" si="32"/>
        <v>0</v>
      </c>
      <c r="AE274" s="459" t="str">
        <f>IFERROR(INDEX(V!$R:$R,MATCH(AF274,V!$L:$L,0)),"")</f>
        <v/>
      </c>
      <c r="AF274" s="460" t="str">
        <f t="shared" si="33"/>
        <v/>
      </c>
      <c r="AG274" s="459" t="str">
        <f>IFERROR(INDEX(V!$R:$R,MATCH(AH274,V!$L:$L,0)),"")</f>
        <v/>
      </c>
      <c r="AH274" s="460" t="str">
        <f t="shared" si="34"/>
        <v/>
      </c>
      <c r="AI274" s="459" t="str">
        <f>IFERROR(INDEX(V!$R:$R,MATCH(AJ274,V!$L:$L,0)),"")</f>
        <v/>
      </c>
      <c r="AJ274" s="460" t="str">
        <f t="shared" si="35"/>
        <v/>
      </c>
      <c r="AK274" s="459" t="str">
        <f>IFERROR(INDEX(V!$R:$R,MATCH(AL274,V!$L:$L,0)),"")</f>
        <v/>
      </c>
      <c r="AL274" s="460" t="str">
        <f t="shared" si="36"/>
        <v/>
      </c>
      <c r="AM274" s="459" t="str">
        <f>IFERROR(INDEX(V!$R:$R,MATCH(AN274,V!$L:$L,0)),"")</f>
        <v/>
      </c>
      <c r="AN274" s="460" t="str">
        <f t="shared" si="37"/>
        <v/>
      </c>
      <c r="AO274" s="459" t="str">
        <f>IFERROR(INDEX(V!$R:$R,MATCH(AP274,V!$L:$L,0)),"")</f>
        <v/>
      </c>
      <c r="AP274" s="460" t="str">
        <f t="shared" si="38"/>
        <v/>
      </c>
    </row>
    <row r="275" spans="1:42"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58">
        <f t="shared" ref="AD275:AD297" si="39">SUM(AE275:AP275)</f>
        <v>0</v>
      </c>
      <c r="AE275" s="459" t="str">
        <f>IFERROR(INDEX(V!$R:$R,MATCH(AF275,V!$L:$L,0)),"")</f>
        <v/>
      </c>
      <c r="AF275" s="460" t="str">
        <f t="shared" si="33"/>
        <v/>
      </c>
      <c r="AG275" s="459" t="str">
        <f>IFERROR(INDEX(V!$R:$R,MATCH(AH275,V!$L:$L,0)),"")</f>
        <v/>
      </c>
      <c r="AH275" s="460" t="str">
        <f t="shared" si="34"/>
        <v/>
      </c>
      <c r="AI275" s="459" t="str">
        <f>IFERROR(INDEX(V!$R:$R,MATCH(AJ275,V!$L:$L,0)),"")</f>
        <v/>
      </c>
      <c r="AJ275" s="460" t="str">
        <f t="shared" si="35"/>
        <v/>
      </c>
      <c r="AK275" s="459" t="str">
        <f>IFERROR(INDEX(V!$R:$R,MATCH(AL275,V!$L:$L,0)),"")</f>
        <v/>
      </c>
      <c r="AL275" s="460" t="str">
        <f t="shared" si="36"/>
        <v/>
      </c>
      <c r="AM275" s="459" t="str">
        <f>IFERROR(INDEX(V!$R:$R,MATCH(AN275,V!$L:$L,0)),"")</f>
        <v/>
      </c>
      <c r="AN275" s="460" t="str">
        <f t="shared" si="37"/>
        <v/>
      </c>
      <c r="AO275" s="459" t="str">
        <f>IFERROR(INDEX(V!$R:$R,MATCH(AP275,V!$L:$L,0)),"")</f>
        <v/>
      </c>
      <c r="AP275" s="460" t="str">
        <f t="shared" si="38"/>
        <v/>
      </c>
    </row>
    <row r="276" spans="1:42"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58">
        <f t="shared" si="39"/>
        <v>0</v>
      </c>
      <c r="AE276" s="459" t="str">
        <f>IFERROR(INDEX(V!$R:$R,MATCH(AF276,V!$L:$L,0)),"")</f>
        <v/>
      </c>
      <c r="AF276" s="460" t="str">
        <f t="shared" si="33"/>
        <v/>
      </c>
      <c r="AG276" s="459" t="str">
        <f>IFERROR(INDEX(V!$R:$R,MATCH(AH276,V!$L:$L,0)),"")</f>
        <v/>
      </c>
      <c r="AH276" s="460" t="str">
        <f t="shared" si="34"/>
        <v/>
      </c>
      <c r="AI276" s="459" t="str">
        <f>IFERROR(INDEX(V!$R:$R,MATCH(AJ276,V!$L:$L,0)),"")</f>
        <v/>
      </c>
      <c r="AJ276" s="460" t="str">
        <f t="shared" si="35"/>
        <v/>
      </c>
      <c r="AK276" s="459" t="str">
        <f>IFERROR(INDEX(V!$R:$R,MATCH(AL276,V!$L:$L,0)),"")</f>
        <v/>
      </c>
      <c r="AL276" s="460" t="str">
        <f t="shared" si="36"/>
        <v/>
      </c>
      <c r="AM276" s="459" t="str">
        <f>IFERROR(INDEX(V!$R:$R,MATCH(AN276,V!$L:$L,0)),"")</f>
        <v/>
      </c>
      <c r="AN276" s="460" t="str">
        <f t="shared" si="37"/>
        <v/>
      </c>
      <c r="AO276" s="459" t="str">
        <f>IFERROR(INDEX(V!$R:$R,MATCH(AP276,V!$L:$L,0)),"")</f>
        <v/>
      </c>
      <c r="AP276" s="460" t="str">
        <f t="shared" si="38"/>
        <v/>
      </c>
    </row>
    <row r="277" spans="1:42"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58">
        <f t="shared" si="39"/>
        <v>0</v>
      </c>
      <c r="AE277" s="459" t="str">
        <f>IFERROR(INDEX(V!$R:$R,MATCH(AF277,V!$L:$L,0)),"")</f>
        <v/>
      </c>
      <c r="AF277" s="460" t="str">
        <f t="shared" si="33"/>
        <v/>
      </c>
      <c r="AG277" s="459" t="str">
        <f>IFERROR(INDEX(V!$R:$R,MATCH(AH277,V!$L:$L,0)),"")</f>
        <v/>
      </c>
      <c r="AH277" s="460" t="str">
        <f t="shared" si="34"/>
        <v/>
      </c>
      <c r="AI277" s="459" t="str">
        <f>IFERROR(INDEX(V!$R:$R,MATCH(AJ277,V!$L:$L,0)),"")</f>
        <v/>
      </c>
      <c r="AJ277" s="460" t="str">
        <f t="shared" si="35"/>
        <v/>
      </c>
      <c r="AK277" s="459" t="str">
        <f>IFERROR(INDEX(V!$R:$R,MATCH(AL277,V!$L:$L,0)),"")</f>
        <v/>
      </c>
      <c r="AL277" s="460" t="str">
        <f t="shared" si="36"/>
        <v/>
      </c>
      <c r="AM277" s="459" t="str">
        <f>IFERROR(INDEX(V!$R:$R,MATCH(AN277,V!$L:$L,0)),"")</f>
        <v/>
      </c>
      <c r="AN277" s="460" t="str">
        <f t="shared" si="37"/>
        <v/>
      </c>
      <c r="AO277" s="459" t="str">
        <f>IFERROR(INDEX(V!$R:$R,MATCH(AP277,V!$L:$L,0)),"")</f>
        <v/>
      </c>
      <c r="AP277" s="460" t="str">
        <f t="shared" si="38"/>
        <v/>
      </c>
    </row>
    <row r="278" spans="1:42"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58">
        <f t="shared" si="39"/>
        <v>0</v>
      </c>
      <c r="AE278" s="459" t="str">
        <f>IFERROR(INDEX(V!$R:$R,MATCH(AF278,V!$L:$L,0)),"")</f>
        <v/>
      </c>
      <c r="AF278" s="460" t="str">
        <f t="shared" si="33"/>
        <v/>
      </c>
      <c r="AG278" s="459" t="str">
        <f>IFERROR(INDEX(V!$R:$R,MATCH(AH278,V!$L:$L,0)),"")</f>
        <v/>
      </c>
      <c r="AH278" s="460" t="str">
        <f t="shared" si="34"/>
        <v/>
      </c>
      <c r="AI278" s="459" t="str">
        <f>IFERROR(INDEX(V!$R:$R,MATCH(AJ278,V!$L:$L,0)),"")</f>
        <v/>
      </c>
      <c r="AJ278" s="460" t="str">
        <f t="shared" si="35"/>
        <v/>
      </c>
      <c r="AK278" s="459" t="str">
        <f>IFERROR(INDEX(V!$R:$R,MATCH(AL278,V!$L:$L,0)),"")</f>
        <v/>
      </c>
      <c r="AL278" s="460" t="str">
        <f t="shared" si="36"/>
        <v/>
      </c>
      <c r="AM278" s="459" t="str">
        <f>IFERROR(INDEX(V!$R:$R,MATCH(AN278,V!$L:$L,0)),"")</f>
        <v/>
      </c>
      <c r="AN278" s="460" t="str">
        <f t="shared" si="37"/>
        <v/>
      </c>
      <c r="AO278" s="459" t="str">
        <f>IFERROR(INDEX(V!$R:$R,MATCH(AP278,V!$L:$L,0)),"")</f>
        <v/>
      </c>
      <c r="AP278" s="460" t="str">
        <f t="shared" si="38"/>
        <v/>
      </c>
    </row>
    <row r="279" spans="1:42"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58">
        <f t="shared" si="39"/>
        <v>0</v>
      </c>
      <c r="AE279" s="459" t="str">
        <f>IFERROR(INDEX(V!$R:$R,MATCH(AF279,V!$L:$L,0)),"")</f>
        <v/>
      </c>
      <c r="AF279" s="460" t="str">
        <f t="shared" si="33"/>
        <v/>
      </c>
      <c r="AG279" s="459" t="str">
        <f>IFERROR(INDEX(V!$R:$R,MATCH(AH279,V!$L:$L,0)),"")</f>
        <v/>
      </c>
      <c r="AH279" s="460" t="str">
        <f t="shared" si="34"/>
        <v/>
      </c>
      <c r="AI279" s="459" t="str">
        <f>IFERROR(INDEX(V!$R:$R,MATCH(AJ279,V!$L:$L,0)),"")</f>
        <v/>
      </c>
      <c r="AJ279" s="460" t="str">
        <f t="shared" si="35"/>
        <v/>
      </c>
      <c r="AK279" s="459" t="str">
        <f>IFERROR(INDEX(V!$R:$R,MATCH(AL279,V!$L:$L,0)),"")</f>
        <v/>
      </c>
      <c r="AL279" s="460" t="str">
        <f t="shared" si="36"/>
        <v/>
      </c>
      <c r="AM279" s="459" t="str">
        <f>IFERROR(INDEX(V!$R:$R,MATCH(AN279,V!$L:$L,0)),"")</f>
        <v/>
      </c>
      <c r="AN279" s="460" t="str">
        <f t="shared" si="37"/>
        <v/>
      </c>
      <c r="AO279" s="459" t="str">
        <f>IFERROR(INDEX(V!$R:$R,MATCH(AP279,V!$L:$L,0)),"")</f>
        <v/>
      </c>
      <c r="AP279" s="460" t="str">
        <f t="shared" si="38"/>
        <v/>
      </c>
    </row>
    <row r="280" spans="1:42"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58">
        <f t="shared" si="39"/>
        <v>0</v>
      </c>
      <c r="AE280" s="459" t="str">
        <f>IFERROR(INDEX(V!$R:$R,MATCH(AF280,V!$L:$L,0)),"")</f>
        <v/>
      </c>
      <c r="AF280" s="460" t="str">
        <f t="shared" si="33"/>
        <v/>
      </c>
      <c r="AG280" s="459" t="str">
        <f>IFERROR(INDEX(V!$R:$R,MATCH(AH280,V!$L:$L,0)),"")</f>
        <v/>
      </c>
      <c r="AH280" s="460" t="str">
        <f t="shared" si="34"/>
        <v/>
      </c>
      <c r="AI280" s="459" t="str">
        <f>IFERROR(INDEX(V!$R:$R,MATCH(AJ280,V!$L:$L,0)),"")</f>
        <v/>
      </c>
      <c r="AJ280" s="460" t="str">
        <f t="shared" si="35"/>
        <v/>
      </c>
      <c r="AK280" s="459" t="str">
        <f>IFERROR(INDEX(V!$R:$R,MATCH(AL280,V!$L:$L,0)),"")</f>
        <v/>
      </c>
      <c r="AL280" s="460" t="str">
        <f t="shared" si="36"/>
        <v/>
      </c>
      <c r="AM280" s="459" t="str">
        <f>IFERROR(INDEX(V!$R:$R,MATCH(AN280,V!$L:$L,0)),"")</f>
        <v/>
      </c>
      <c r="AN280" s="460" t="str">
        <f t="shared" si="37"/>
        <v/>
      </c>
      <c r="AO280" s="459" t="str">
        <f>IFERROR(INDEX(V!$R:$R,MATCH(AP280,V!$L:$L,0)),"")</f>
        <v/>
      </c>
      <c r="AP280" s="460" t="str">
        <f t="shared" si="38"/>
        <v/>
      </c>
    </row>
    <row r="281" spans="1:42"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58">
        <f t="shared" si="39"/>
        <v>0</v>
      </c>
      <c r="AE281" s="459" t="str">
        <f>IFERROR(INDEX(V!$R:$R,MATCH(AF281,V!$L:$L,0)),"")</f>
        <v/>
      </c>
      <c r="AF281" s="460" t="str">
        <f t="shared" si="33"/>
        <v/>
      </c>
      <c r="AG281" s="459" t="str">
        <f>IFERROR(INDEX(V!$R:$R,MATCH(AH281,V!$L:$L,0)),"")</f>
        <v/>
      </c>
      <c r="AH281" s="460" t="str">
        <f t="shared" si="34"/>
        <v/>
      </c>
      <c r="AI281" s="459" t="str">
        <f>IFERROR(INDEX(V!$R:$R,MATCH(AJ281,V!$L:$L,0)),"")</f>
        <v/>
      </c>
      <c r="AJ281" s="460" t="str">
        <f t="shared" si="35"/>
        <v/>
      </c>
      <c r="AK281" s="459" t="str">
        <f>IFERROR(INDEX(V!$R:$R,MATCH(AL281,V!$L:$L,0)),"")</f>
        <v/>
      </c>
      <c r="AL281" s="460" t="str">
        <f t="shared" si="36"/>
        <v/>
      </c>
      <c r="AM281" s="459" t="str">
        <f>IFERROR(INDEX(V!$R:$R,MATCH(AN281,V!$L:$L,0)),"")</f>
        <v/>
      </c>
      <c r="AN281" s="460" t="str">
        <f t="shared" si="37"/>
        <v/>
      </c>
      <c r="AO281" s="459" t="str">
        <f>IFERROR(INDEX(V!$R:$R,MATCH(AP281,V!$L:$L,0)),"")</f>
        <v/>
      </c>
      <c r="AP281" s="460" t="str">
        <f t="shared" si="38"/>
        <v/>
      </c>
    </row>
    <row r="282" spans="1:42"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58">
        <f t="shared" si="39"/>
        <v>0</v>
      </c>
      <c r="AE282" s="459" t="str">
        <f>IFERROR(INDEX(V!$R:$R,MATCH(AF282,V!$L:$L,0)),"")</f>
        <v/>
      </c>
      <c r="AF282" s="460" t="str">
        <f t="shared" si="33"/>
        <v/>
      </c>
      <c r="AG282" s="459" t="str">
        <f>IFERROR(INDEX(V!$R:$R,MATCH(AH282,V!$L:$L,0)),"")</f>
        <v/>
      </c>
      <c r="AH282" s="460" t="str">
        <f t="shared" si="34"/>
        <v/>
      </c>
      <c r="AI282" s="459" t="str">
        <f>IFERROR(INDEX(V!$R:$R,MATCH(AJ282,V!$L:$L,0)),"")</f>
        <v/>
      </c>
      <c r="AJ282" s="460" t="str">
        <f t="shared" si="35"/>
        <v/>
      </c>
      <c r="AK282" s="459" t="str">
        <f>IFERROR(INDEX(V!$R:$R,MATCH(AL282,V!$L:$L,0)),"")</f>
        <v/>
      </c>
      <c r="AL282" s="460" t="str">
        <f t="shared" si="36"/>
        <v/>
      </c>
      <c r="AM282" s="459" t="str">
        <f>IFERROR(INDEX(V!$R:$R,MATCH(AN282,V!$L:$L,0)),"")</f>
        <v/>
      </c>
      <c r="AN282" s="460" t="str">
        <f t="shared" si="37"/>
        <v/>
      </c>
      <c r="AO282" s="459" t="str">
        <f>IFERROR(INDEX(V!$R:$R,MATCH(AP282,V!$L:$L,0)),"")</f>
        <v/>
      </c>
      <c r="AP282" s="460" t="str">
        <f t="shared" si="38"/>
        <v/>
      </c>
    </row>
    <row r="283" spans="1:42"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58">
        <f t="shared" si="39"/>
        <v>0</v>
      </c>
      <c r="AE283" s="459" t="str">
        <f>IFERROR(INDEX(V!$R:$R,MATCH(AF283,V!$L:$L,0)),"")</f>
        <v/>
      </c>
      <c r="AF283" s="460" t="str">
        <f t="shared" si="33"/>
        <v/>
      </c>
      <c r="AG283" s="459" t="str">
        <f>IFERROR(INDEX(V!$R:$R,MATCH(AH283,V!$L:$L,0)),"")</f>
        <v/>
      </c>
      <c r="AH283" s="460" t="str">
        <f t="shared" si="34"/>
        <v/>
      </c>
      <c r="AI283" s="459" t="str">
        <f>IFERROR(INDEX(V!$R:$R,MATCH(AJ283,V!$L:$L,0)),"")</f>
        <v/>
      </c>
      <c r="AJ283" s="460" t="str">
        <f t="shared" si="35"/>
        <v/>
      </c>
      <c r="AK283" s="459" t="str">
        <f>IFERROR(INDEX(V!$R:$R,MATCH(AL283,V!$L:$L,0)),"")</f>
        <v/>
      </c>
      <c r="AL283" s="460" t="str">
        <f t="shared" si="36"/>
        <v/>
      </c>
      <c r="AM283" s="459" t="str">
        <f>IFERROR(INDEX(V!$R:$R,MATCH(AN283,V!$L:$L,0)),"")</f>
        <v/>
      </c>
      <c r="AN283" s="460" t="str">
        <f t="shared" si="37"/>
        <v/>
      </c>
      <c r="AO283" s="459" t="str">
        <f>IFERROR(INDEX(V!$R:$R,MATCH(AP283,V!$L:$L,0)),"")</f>
        <v/>
      </c>
      <c r="AP283" s="460" t="str">
        <f t="shared" si="38"/>
        <v/>
      </c>
    </row>
    <row r="284" spans="1:42"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58">
        <f t="shared" si="39"/>
        <v>0</v>
      </c>
      <c r="AE284" s="459" t="str">
        <f>IFERROR(INDEX(V!$R:$R,MATCH(AF284,V!$L:$L,0)),"")</f>
        <v/>
      </c>
      <c r="AF284" s="460" t="str">
        <f t="shared" si="33"/>
        <v/>
      </c>
      <c r="AG284" s="459" t="str">
        <f>IFERROR(INDEX(V!$R:$R,MATCH(AH284,V!$L:$L,0)),"")</f>
        <v/>
      </c>
      <c r="AH284" s="460" t="str">
        <f t="shared" si="34"/>
        <v/>
      </c>
      <c r="AI284" s="459" t="str">
        <f>IFERROR(INDEX(V!$R:$R,MATCH(AJ284,V!$L:$L,0)),"")</f>
        <v/>
      </c>
      <c r="AJ284" s="460" t="str">
        <f t="shared" si="35"/>
        <v/>
      </c>
      <c r="AK284" s="459" t="str">
        <f>IFERROR(INDEX(V!$R:$R,MATCH(AL284,V!$L:$L,0)),"")</f>
        <v/>
      </c>
      <c r="AL284" s="460" t="str">
        <f t="shared" si="36"/>
        <v/>
      </c>
      <c r="AM284" s="459" t="str">
        <f>IFERROR(INDEX(V!$R:$R,MATCH(AN284,V!$L:$L,0)),"")</f>
        <v/>
      </c>
      <c r="AN284" s="460" t="str">
        <f t="shared" si="37"/>
        <v/>
      </c>
      <c r="AO284" s="459" t="str">
        <f>IFERROR(INDEX(V!$R:$R,MATCH(AP284,V!$L:$L,0)),"")</f>
        <v/>
      </c>
      <c r="AP284" s="460" t="str">
        <f t="shared" si="38"/>
        <v/>
      </c>
    </row>
    <row r="285" spans="1:42"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58">
        <f t="shared" si="39"/>
        <v>0</v>
      </c>
      <c r="AE285" s="459" t="str">
        <f>IFERROR(INDEX(V!$R:$R,MATCH(AF285,V!$L:$L,0)),"")</f>
        <v/>
      </c>
      <c r="AF285" s="460" t="str">
        <f t="shared" si="33"/>
        <v/>
      </c>
      <c r="AG285" s="459" t="str">
        <f>IFERROR(INDEX(V!$R:$R,MATCH(AH285,V!$L:$L,0)),"")</f>
        <v/>
      </c>
      <c r="AH285" s="460" t="str">
        <f t="shared" si="34"/>
        <v/>
      </c>
      <c r="AI285" s="459" t="str">
        <f>IFERROR(INDEX(V!$R:$R,MATCH(AJ285,V!$L:$L,0)),"")</f>
        <v/>
      </c>
      <c r="AJ285" s="460" t="str">
        <f t="shared" si="35"/>
        <v/>
      </c>
      <c r="AK285" s="459" t="str">
        <f>IFERROR(INDEX(V!$R:$R,MATCH(AL285,V!$L:$L,0)),"")</f>
        <v/>
      </c>
      <c r="AL285" s="460" t="str">
        <f t="shared" si="36"/>
        <v/>
      </c>
      <c r="AM285" s="459" t="str">
        <f>IFERROR(INDEX(V!$R:$R,MATCH(AN285,V!$L:$L,0)),"")</f>
        <v/>
      </c>
      <c r="AN285" s="460" t="str">
        <f t="shared" si="37"/>
        <v/>
      </c>
      <c r="AO285" s="459" t="str">
        <f>IFERROR(INDEX(V!$R:$R,MATCH(AP285,V!$L:$L,0)),"")</f>
        <v/>
      </c>
      <c r="AP285" s="460" t="str">
        <f t="shared" si="38"/>
        <v/>
      </c>
    </row>
    <row r="286" spans="1:42"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58">
        <f t="shared" si="39"/>
        <v>0</v>
      </c>
      <c r="AE286" s="459" t="str">
        <f>IFERROR(INDEX(V!$R:$R,MATCH(AF286,V!$L:$L,0)),"")</f>
        <v/>
      </c>
      <c r="AF286" s="460" t="str">
        <f t="shared" si="33"/>
        <v/>
      </c>
      <c r="AG286" s="459" t="str">
        <f>IFERROR(INDEX(V!$R:$R,MATCH(AH286,V!$L:$L,0)),"")</f>
        <v/>
      </c>
      <c r="AH286" s="460" t="str">
        <f t="shared" si="34"/>
        <v/>
      </c>
      <c r="AI286" s="459" t="str">
        <f>IFERROR(INDEX(V!$R:$R,MATCH(AJ286,V!$L:$L,0)),"")</f>
        <v/>
      </c>
      <c r="AJ286" s="460" t="str">
        <f t="shared" si="35"/>
        <v/>
      </c>
      <c r="AK286" s="459" t="str">
        <f>IFERROR(INDEX(V!$R:$R,MATCH(AL286,V!$L:$L,0)),"")</f>
        <v/>
      </c>
      <c r="AL286" s="460" t="str">
        <f t="shared" si="36"/>
        <v/>
      </c>
      <c r="AM286" s="459" t="str">
        <f>IFERROR(INDEX(V!$R:$R,MATCH(AN286,V!$L:$L,0)),"")</f>
        <v/>
      </c>
      <c r="AN286" s="460" t="str">
        <f t="shared" si="37"/>
        <v/>
      </c>
      <c r="AO286" s="459" t="str">
        <f>IFERROR(INDEX(V!$R:$R,MATCH(AP286,V!$L:$L,0)),"")</f>
        <v/>
      </c>
      <c r="AP286" s="460" t="str">
        <f t="shared" si="38"/>
        <v/>
      </c>
    </row>
    <row r="287" spans="1:42" hidden="1"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58">
        <f t="shared" si="39"/>
        <v>0</v>
      </c>
      <c r="AE287" s="459" t="str">
        <f>IFERROR(INDEX(V!$R:$R,MATCH(AF287,V!$L:$L,0)),"")</f>
        <v/>
      </c>
      <c r="AF287" s="460" t="str">
        <f t="shared" si="33"/>
        <v/>
      </c>
      <c r="AG287" s="459" t="str">
        <f>IFERROR(INDEX(V!$R:$R,MATCH(AH287,V!$L:$L,0)),"")</f>
        <v/>
      </c>
      <c r="AH287" s="460" t="str">
        <f t="shared" si="34"/>
        <v/>
      </c>
      <c r="AI287" s="459" t="str">
        <f>IFERROR(INDEX(V!$R:$R,MATCH(AJ287,V!$L:$L,0)),"")</f>
        <v/>
      </c>
      <c r="AJ287" s="460" t="str">
        <f t="shared" si="35"/>
        <v/>
      </c>
      <c r="AK287" s="459" t="str">
        <f>IFERROR(INDEX(V!$R:$R,MATCH(AL287,V!$L:$L,0)),"")</f>
        <v/>
      </c>
      <c r="AL287" s="460" t="str">
        <f t="shared" si="36"/>
        <v/>
      </c>
      <c r="AM287" s="459" t="str">
        <f>IFERROR(INDEX(V!$R:$R,MATCH(AN287,V!$L:$L,0)),"")</f>
        <v/>
      </c>
      <c r="AN287" s="460" t="str">
        <f t="shared" si="37"/>
        <v/>
      </c>
      <c r="AO287" s="459" t="str">
        <f>IFERROR(INDEX(V!$R:$R,MATCH(AP287,V!$L:$L,0)),"")</f>
        <v/>
      </c>
      <c r="AP287" s="460" t="str">
        <f t="shared" si="38"/>
        <v/>
      </c>
    </row>
    <row r="288" spans="1:42" hidden="1"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58">
        <f t="shared" si="39"/>
        <v>0</v>
      </c>
      <c r="AE288" s="459" t="str">
        <f>IFERROR(INDEX(V!$R:$R,MATCH(AF288,V!$L:$L,0)),"")</f>
        <v/>
      </c>
      <c r="AF288" s="460" t="str">
        <f t="shared" si="33"/>
        <v/>
      </c>
      <c r="AG288" s="459" t="str">
        <f>IFERROR(INDEX(V!$R:$R,MATCH(AH288,V!$L:$L,0)),"")</f>
        <v/>
      </c>
      <c r="AH288" s="460" t="str">
        <f t="shared" si="34"/>
        <v/>
      </c>
      <c r="AI288" s="459" t="str">
        <f>IFERROR(INDEX(V!$R:$R,MATCH(AJ288,V!$L:$L,0)),"")</f>
        <v/>
      </c>
      <c r="AJ288" s="460" t="str">
        <f t="shared" si="35"/>
        <v/>
      </c>
      <c r="AK288" s="459" t="str">
        <f>IFERROR(INDEX(V!$R:$R,MATCH(AL288,V!$L:$L,0)),"")</f>
        <v/>
      </c>
      <c r="AL288" s="460" t="str">
        <f t="shared" si="36"/>
        <v/>
      </c>
      <c r="AM288" s="459" t="str">
        <f>IFERROR(INDEX(V!$R:$R,MATCH(AN288,V!$L:$L,0)),"")</f>
        <v/>
      </c>
      <c r="AN288" s="460" t="str">
        <f t="shared" si="37"/>
        <v/>
      </c>
      <c r="AO288" s="459" t="str">
        <f>IFERROR(INDEX(V!$R:$R,MATCH(AP288,V!$L:$L,0)),"")</f>
        <v/>
      </c>
      <c r="AP288" s="460" t="str">
        <f t="shared" si="38"/>
        <v/>
      </c>
    </row>
    <row r="289" spans="1:42" hidden="1" x14ac:dyDescent="0.2">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58">
        <f t="shared" si="39"/>
        <v>0</v>
      </c>
      <c r="AE289" s="459" t="str">
        <f>IFERROR(INDEX(V!$R:$R,MATCH(AF289,V!$L:$L,0)),"")</f>
        <v/>
      </c>
      <c r="AF289" s="460" t="str">
        <f t="shared" si="33"/>
        <v/>
      </c>
      <c r="AG289" s="459" t="str">
        <f>IFERROR(INDEX(V!$R:$R,MATCH(AH289,V!$L:$L,0)),"")</f>
        <v/>
      </c>
      <c r="AH289" s="460" t="str">
        <f t="shared" si="34"/>
        <v/>
      </c>
      <c r="AI289" s="459" t="str">
        <f>IFERROR(INDEX(V!$R:$R,MATCH(AJ289,V!$L:$L,0)),"")</f>
        <v/>
      </c>
      <c r="AJ289" s="460" t="str">
        <f t="shared" si="35"/>
        <v/>
      </c>
      <c r="AK289" s="459" t="str">
        <f>IFERROR(INDEX(V!$R:$R,MATCH(AL289,V!$L:$L,0)),"")</f>
        <v/>
      </c>
      <c r="AL289" s="460" t="str">
        <f t="shared" si="36"/>
        <v/>
      </c>
      <c r="AM289" s="459" t="str">
        <f>IFERROR(INDEX(V!$R:$R,MATCH(AN289,V!$L:$L,0)),"")</f>
        <v/>
      </c>
      <c r="AN289" s="460" t="str">
        <f t="shared" si="37"/>
        <v/>
      </c>
      <c r="AO289" s="459" t="str">
        <f>IFERROR(INDEX(V!$R:$R,MATCH(AP289,V!$L:$L,0)),"")</f>
        <v/>
      </c>
      <c r="AP289" s="460" t="str">
        <f t="shared" si="38"/>
        <v/>
      </c>
    </row>
    <row r="290" spans="1:42" hidden="1" x14ac:dyDescent="0.2">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58">
        <f t="shared" si="39"/>
        <v>0</v>
      </c>
      <c r="AE290" s="459" t="str">
        <f>IFERROR(INDEX(V!$R:$R,MATCH(AF290,V!$L:$L,0)),"")</f>
        <v/>
      </c>
      <c r="AF290" s="460" t="str">
        <f t="shared" si="33"/>
        <v/>
      </c>
      <c r="AG290" s="459" t="str">
        <f>IFERROR(INDEX(V!$R:$R,MATCH(AH290,V!$L:$L,0)),"")</f>
        <v/>
      </c>
      <c r="AH290" s="460" t="str">
        <f t="shared" si="34"/>
        <v/>
      </c>
      <c r="AI290" s="459" t="str">
        <f>IFERROR(INDEX(V!$R:$R,MATCH(AJ290,V!$L:$L,0)),"")</f>
        <v/>
      </c>
      <c r="AJ290" s="460" t="str">
        <f t="shared" si="35"/>
        <v/>
      </c>
      <c r="AK290" s="459" t="str">
        <f>IFERROR(INDEX(V!$R:$R,MATCH(AL290,V!$L:$L,0)),"")</f>
        <v/>
      </c>
      <c r="AL290" s="460" t="str">
        <f t="shared" si="36"/>
        <v/>
      </c>
      <c r="AM290" s="459" t="str">
        <f>IFERROR(INDEX(V!$R:$R,MATCH(AN290,V!$L:$L,0)),"")</f>
        <v/>
      </c>
      <c r="AN290" s="460" t="str">
        <f t="shared" si="37"/>
        <v/>
      </c>
      <c r="AO290" s="459" t="str">
        <f>IFERROR(INDEX(V!$R:$R,MATCH(AP290,V!$L:$L,0)),"")</f>
        <v/>
      </c>
      <c r="AP290" s="460" t="str">
        <f t="shared" si="38"/>
        <v/>
      </c>
    </row>
    <row r="291" spans="1:42" hidden="1" x14ac:dyDescent="0.2">
      <c r="G291" s="403"/>
      <c r="H291" s="403"/>
      <c r="I291" s="403"/>
      <c r="J291" s="403"/>
      <c r="K291" s="403"/>
      <c r="L291" s="403"/>
      <c r="M291" s="403"/>
      <c r="N291" s="403"/>
      <c r="O291" s="403"/>
      <c r="P291" s="403"/>
      <c r="Q291" s="403"/>
      <c r="R291" s="403"/>
      <c r="S291" s="403"/>
      <c r="T291" s="403"/>
      <c r="U291" s="403"/>
      <c r="V291" s="403"/>
      <c r="W291" s="453"/>
      <c r="X291" s="403"/>
      <c r="Y291" s="403"/>
      <c r="Z291" s="403"/>
      <c r="AA291" s="403"/>
      <c r="AB291" s="403"/>
      <c r="AC291" s="403"/>
      <c r="AD291" s="458">
        <f t="shared" si="39"/>
        <v>0</v>
      </c>
      <c r="AE291" s="459" t="str">
        <f>IFERROR(INDEX(V!$R:$R,MATCH(AF291,V!$L:$L,0)),"")</f>
        <v/>
      </c>
      <c r="AF291" s="460" t="str">
        <f t="shared" si="33"/>
        <v/>
      </c>
      <c r="AG291" s="459" t="str">
        <f>IFERROR(INDEX(V!$R:$R,MATCH(AH291,V!$L:$L,0)),"")</f>
        <v/>
      </c>
      <c r="AH291" s="460" t="str">
        <f t="shared" si="34"/>
        <v/>
      </c>
      <c r="AI291" s="459" t="str">
        <f>IFERROR(INDEX(V!$R:$R,MATCH(AJ291,V!$L:$L,0)),"")</f>
        <v/>
      </c>
      <c r="AJ291" s="460" t="str">
        <f t="shared" si="35"/>
        <v/>
      </c>
      <c r="AK291" s="459" t="str">
        <f>IFERROR(INDEX(V!$R:$R,MATCH(AL291,V!$L:$L,0)),"")</f>
        <v/>
      </c>
      <c r="AL291" s="460" t="str">
        <f t="shared" si="36"/>
        <v/>
      </c>
      <c r="AM291" s="459" t="str">
        <f>IFERROR(INDEX(V!$R:$R,MATCH(AN291,V!$L:$L,0)),"")</f>
        <v/>
      </c>
      <c r="AN291" s="460" t="str">
        <f t="shared" si="37"/>
        <v/>
      </c>
      <c r="AO291" s="459" t="str">
        <f>IFERROR(INDEX(V!$R:$R,MATCH(AP291,V!$L:$L,0)),"")</f>
        <v/>
      </c>
      <c r="AP291" s="460" t="str">
        <f t="shared" si="38"/>
        <v/>
      </c>
    </row>
    <row r="292" spans="1:42" hidden="1" x14ac:dyDescent="0.2">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58">
        <f t="shared" si="39"/>
        <v>0</v>
      </c>
      <c r="AE292" s="459" t="str">
        <f>IFERROR(INDEX(V!$R:$R,MATCH(AF292,V!$L:$L,0)),"")</f>
        <v/>
      </c>
      <c r="AF292" s="460" t="str">
        <f t="shared" si="33"/>
        <v/>
      </c>
      <c r="AG292" s="459" t="str">
        <f>IFERROR(INDEX(V!$R:$R,MATCH(AH292,V!$L:$L,0)),"")</f>
        <v/>
      </c>
      <c r="AH292" s="460" t="str">
        <f t="shared" si="34"/>
        <v/>
      </c>
      <c r="AI292" s="459" t="str">
        <f>IFERROR(INDEX(V!$R:$R,MATCH(AJ292,V!$L:$L,0)),"")</f>
        <v/>
      </c>
      <c r="AJ292" s="460" t="str">
        <f t="shared" si="35"/>
        <v/>
      </c>
      <c r="AK292" s="459" t="str">
        <f>IFERROR(INDEX(V!$R:$R,MATCH(AL292,V!$L:$L,0)),"")</f>
        <v/>
      </c>
      <c r="AL292" s="460" t="str">
        <f t="shared" si="36"/>
        <v/>
      </c>
      <c r="AM292" s="459" t="str">
        <f>IFERROR(INDEX(V!$R:$R,MATCH(AN292,V!$L:$L,0)),"")</f>
        <v/>
      </c>
      <c r="AN292" s="460" t="str">
        <f t="shared" si="37"/>
        <v/>
      </c>
      <c r="AO292" s="459" t="str">
        <f>IFERROR(INDEX(V!$R:$R,MATCH(AP292,V!$L:$L,0)),"")</f>
        <v/>
      </c>
      <c r="AP292" s="460" t="str">
        <f t="shared" si="38"/>
        <v/>
      </c>
    </row>
    <row r="293" spans="1:42" hidden="1" x14ac:dyDescent="0.2">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58">
        <f t="shared" si="39"/>
        <v>0</v>
      </c>
      <c r="AE293" s="459" t="str">
        <f>IFERROR(INDEX(V!$R:$R,MATCH(AF293,V!$L:$L,0)),"")</f>
        <v/>
      </c>
      <c r="AF293" s="460" t="str">
        <f t="shared" si="33"/>
        <v/>
      </c>
      <c r="AG293" s="459" t="str">
        <f>IFERROR(INDEX(V!$R:$R,MATCH(AH293,V!$L:$L,0)),"")</f>
        <v/>
      </c>
      <c r="AH293" s="460" t="str">
        <f t="shared" si="34"/>
        <v/>
      </c>
      <c r="AI293" s="459" t="str">
        <f>IFERROR(INDEX(V!$R:$R,MATCH(AJ293,V!$L:$L,0)),"")</f>
        <v/>
      </c>
      <c r="AJ293" s="460" t="str">
        <f t="shared" si="35"/>
        <v/>
      </c>
      <c r="AK293" s="459" t="str">
        <f>IFERROR(INDEX(V!$R:$R,MATCH(AL293,V!$L:$L,0)),"")</f>
        <v/>
      </c>
      <c r="AL293" s="460" t="str">
        <f t="shared" si="36"/>
        <v/>
      </c>
      <c r="AM293" s="459" t="str">
        <f>IFERROR(INDEX(V!$R:$R,MATCH(AN293,V!$L:$L,0)),"")</f>
        <v/>
      </c>
      <c r="AN293" s="460" t="str">
        <f t="shared" si="37"/>
        <v/>
      </c>
      <c r="AO293" s="459" t="str">
        <f>IFERROR(INDEX(V!$R:$R,MATCH(AP293,V!$L:$L,0)),"")</f>
        <v/>
      </c>
      <c r="AP293" s="460" t="str">
        <f t="shared" si="38"/>
        <v/>
      </c>
    </row>
    <row r="294" spans="1:42" hidden="1" x14ac:dyDescent="0.2">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58">
        <f t="shared" si="39"/>
        <v>0</v>
      </c>
      <c r="AE294" s="459" t="str">
        <f>IFERROR(INDEX(V!$R:$R,MATCH(AF294,V!$L:$L,0)),"")</f>
        <v/>
      </c>
      <c r="AF294" s="460" t="str">
        <f t="shared" si="33"/>
        <v/>
      </c>
      <c r="AG294" s="459" t="str">
        <f>IFERROR(INDEX(V!$R:$R,MATCH(AH294,V!$L:$L,0)),"")</f>
        <v/>
      </c>
      <c r="AH294" s="460" t="str">
        <f t="shared" si="34"/>
        <v/>
      </c>
      <c r="AI294" s="459" t="str">
        <f>IFERROR(INDEX(V!$R:$R,MATCH(AJ294,V!$L:$L,0)),"")</f>
        <v/>
      </c>
      <c r="AJ294" s="460" t="str">
        <f t="shared" si="35"/>
        <v/>
      </c>
      <c r="AK294" s="459" t="str">
        <f>IFERROR(INDEX(V!$R:$R,MATCH(AL294,V!$L:$L,0)),"")</f>
        <v/>
      </c>
      <c r="AL294" s="460" t="str">
        <f t="shared" si="36"/>
        <v/>
      </c>
      <c r="AM294" s="459" t="str">
        <f>IFERROR(INDEX(V!$R:$R,MATCH(AN294,V!$L:$L,0)),"")</f>
        <v/>
      </c>
      <c r="AN294" s="460" t="str">
        <f t="shared" si="37"/>
        <v/>
      </c>
      <c r="AO294" s="459" t="str">
        <f>IFERROR(INDEX(V!$R:$R,MATCH(AP294,V!$L:$L,0)),"")</f>
        <v/>
      </c>
      <c r="AP294" s="460" t="str">
        <f t="shared" si="38"/>
        <v/>
      </c>
    </row>
    <row r="295" spans="1:42" hidden="1" x14ac:dyDescent="0.2">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58">
        <f t="shared" si="39"/>
        <v>0</v>
      </c>
      <c r="AE295" s="459" t="str">
        <f>IFERROR(INDEX(V!$R:$R,MATCH(AF295,V!$L:$L,0)),"")</f>
        <v/>
      </c>
      <c r="AF295" s="460" t="str">
        <f t="shared" si="33"/>
        <v/>
      </c>
      <c r="AG295" s="459" t="str">
        <f>IFERROR(INDEX(V!$R:$R,MATCH(AH295,V!$L:$L,0)),"")</f>
        <v/>
      </c>
      <c r="AH295" s="460" t="str">
        <f t="shared" si="34"/>
        <v/>
      </c>
      <c r="AI295" s="459" t="str">
        <f>IFERROR(INDEX(V!$R:$R,MATCH(AJ295,V!$L:$L,0)),"")</f>
        <v/>
      </c>
      <c r="AJ295" s="460" t="str">
        <f t="shared" si="35"/>
        <v/>
      </c>
      <c r="AK295" s="459" t="str">
        <f>IFERROR(INDEX(V!$R:$R,MATCH(AL295,V!$L:$L,0)),"")</f>
        <v/>
      </c>
      <c r="AL295" s="460" t="str">
        <f t="shared" si="36"/>
        <v/>
      </c>
      <c r="AM295" s="459" t="str">
        <f>IFERROR(INDEX(V!$R:$R,MATCH(AN295,V!$L:$L,0)),"")</f>
        <v/>
      </c>
      <c r="AN295" s="460" t="str">
        <f t="shared" si="37"/>
        <v/>
      </c>
      <c r="AO295" s="459" t="str">
        <f>IFERROR(INDEX(V!$R:$R,MATCH(AP295,V!$L:$L,0)),"")</f>
        <v/>
      </c>
      <c r="AP295" s="460" t="str">
        <f t="shared" si="38"/>
        <v/>
      </c>
    </row>
    <row r="296" spans="1:42" hidden="1" x14ac:dyDescent="0.2">
      <c r="G296" s="403"/>
      <c r="H296" s="403"/>
      <c r="I296" s="403"/>
      <c r="J296" s="403"/>
      <c r="K296" s="403"/>
      <c r="L296" s="403"/>
      <c r="M296" s="403"/>
      <c r="N296" s="403"/>
      <c r="O296" s="403"/>
      <c r="P296" s="403"/>
      <c r="Q296" s="403"/>
      <c r="R296" s="403"/>
      <c r="S296" s="403"/>
      <c r="T296" s="403"/>
      <c r="U296" s="403"/>
      <c r="V296" s="403"/>
      <c r="W296" s="453"/>
      <c r="X296" s="403"/>
      <c r="Y296" s="403"/>
      <c r="Z296" s="403"/>
      <c r="AA296" s="403"/>
      <c r="AB296" s="403"/>
      <c r="AC296" s="403"/>
      <c r="AD296" s="458">
        <f t="shared" si="39"/>
        <v>0</v>
      </c>
      <c r="AE296" s="459" t="str">
        <f>IFERROR(INDEX(V!$R:$R,MATCH(AF296,V!$L:$L,0)),"")</f>
        <v/>
      </c>
      <c r="AF296" s="460" t="str">
        <f t="shared" si="33"/>
        <v/>
      </c>
      <c r="AG296" s="459" t="str">
        <f>IFERROR(INDEX(V!$R:$R,MATCH(AH296,V!$L:$L,0)),"")</f>
        <v/>
      </c>
      <c r="AH296" s="460" t="str">
        <f t="shared" si="34"/>
        <v/>
      </c>
      <c r="AI296" s="459" t="str">
        <f>IFERROR(INDEX(V!$R:$R,MATCH(AJ296,V!$L:$L,0)),"")</f>
        <v/>
      </c>
      <c r="AJ296" s="460" t="str">
        <f t="shared" si="35"/>
        <v/>
      </c>
      <c r="AK296" s="459" t="str">
        <f>IFERROR(INDEX(V!$R:$R,MATCH(AL296,V!$L:$L,0)),"")</f>
        <v/>
      </c>
      <c r="AL296" s="460" t="str">
        <f t="shared" si="36"/>
        <v/>
      </c>
      <c r="AM296" s="459" t="str">
        <f>IFERROR(INDEX(V!$R:$R,MATCH(AN296,V!$L:$L,0)),"")</f>
        <v/>
      </c>
      <c r="AN296" s="460" t="str">
        <f t="shared" si="37"/>
        <v/>
      </c>
      <c r="AO296" s="459" t="str">
        <f>IFERROR(INDEX(V!$R:$R,MATCH(AP296,V!$L:$L,0)),"")</f>
        <v/>
      </c>
      <c r="AP296" s="460" t="str">
        <f t="shared" si="38"/>
        <v/>
      </c>
    </row>
    <row r="297" spans="1:42" hidden="1" x14ac:dyDescent="0.2">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58">
        <f t="shared" si="39"/>
        <v>0</v>
      </c>
      <c r="AE297" s="459" t="str">
        <f>IFERROR(INDEX(V!$R:$R,MATCH(AF297,V!$L:$L,0)),"")</f>
        <v/>
      </c>
      <c r="AF297" s="460" t="str">
        <f t="shared" si="33"/>
        <v/>
      </c>
      <c r="AG297" s="459" t="str">
        <f>IFERROR(INDEX(V!$R:$R,MATCH(AH297,V!$L:$L,0)),"")</f>
        <v/>
      </c>
      <c r="AH297" s="460" t="str">
        <f t="shared" si="34"/>
        <v/>
      </c>
      <c r="AI297" s="459" t="str">
        <f>IFERROR(INDEX(V!$R:$R,MATCH(AJ297,V!$L:$L,0)),"")</f>
        <v/>
      </c>
      <c r="AJ297" s="460" t="str">
        <f t="shared" si="35"/>
        <v/>
      </c>
      <c r="AK297" s="459" t="str">
        <f>IFERROR(INDEX(V!$R:$R,MATCH(AL297,V!$L:$L,0)),"")</f>
        <v/>
      </c>
      <c r="AL297" s="460" t="str">
        <f t="shared" si="36"/>
        <v/>
      </c>
      <c r="AM297" s="459" t="str">
        <f>IFERROR(INDEX(V!$R:$R,MATCH(AN297,V!$L:$L,0)),"")</f>
        <v/>
      </c>
      <c r="AN297" s="460" t="str">
        <f t="shared" si="37"/>
        <v/>
      </c>
      <c r="AO297" s="459" t="str">
        <f>IFERROR(INDEX(V!$R:$R,MATCH(AP297,V!$L:$L,0)),"")</f>
        <v/>
      </c>
      <c r="AP297" s="460" t="str">
        <f t="shared" si="38"/>
        <v/>
      </c>
    </row>
    <row r="298" spans="1:42" x14ac:dyDescent="0.2">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row>
    <row r="299" spans="1:42" x14ac:dyDescent="0.2">
      <c r="A299" s="403"/>
      <c r="B299" s="403"/>
      <c r="C299" s="447" t="s">
        <v>69</v>
      </c>
      <c r="D299" s="448"/>
      <c r="E299" s="448"/>
      <c r="F299" s="986"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row>
    <row r="300" spans="1:42" x14ac:dyDescent="0.2">
      <c r="A300" s="449">
        <v>1</v>
      </c>
      <c r="B300" s="450" t="str">
        <f t="shared" ref="B300:B313" si="40">IFERROR(INDEX(B$1:B$90,MATCH(A300,A$1:A$90,0)),"")</f>
        <v>Meelis Luud, Sander Rose</v>
      </c>
      <c r="C300" s="451">
        <f t="shared" ref="C300:C313" si="41">IF(21-A300&gt;0,IF(OR(A300=A301,A299=A300),21-A300-0.5,21-A300),1)</f>
        <v>20</v>
      </c>
      <c r="D300" s="452"/>
      <c r="E300" s="452"/>
      <c r="F300" s="985">
        <v>5</v>
      </c>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row>
    <row r="301" spans="1:42" x14ac:dyDescent="0.2">
      <c r="A301" s="449">
        <v>2</v>
      </c>
      <c r="B301" s="450" t="str">
        <f t="shared" si="40"/>
        <v>Kenneth Muusikus, Marta Bernat</v>
      </c>
      <c r="C301" s="451">
        <f t="shared" si="41"/>
        <v>19</v>
      </c>
      <c r="D301" s="404"/>
      <c r="E301" s="404"/>
      <c r="F301" s="988">
        <v>4</v>
      </c>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row>
    <row r="302" spans="1:42" x14ac:dyDescent="0.2">
      <c r="A302" s="449">
        <v>3</v>
      </c>
      <c r="B302" s="450" t="str">
        <f t="shared" si="40"/>
        <v>Andrei Grintšak, Daniil Alekankin</v>
      </c>
      <c r="C302" s="451">
        <f t="shared" si="41"/>
        <v>18</v>
      </c>
      <c r="D302" s="404"/>
      <c r="E302" s="404"/>
      <c r="F302" s="988">
        <v>4</v>
      </c>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row>
    <row r="303" spans="1:42" x14ac:dyDescent="0.2">
      <c r="A303" s="449">
        <v>4</v>
      </c>
      <c r="B303" s="450" t="str">
        <f t="shared" si="40"/>
        <v>Oliver Ojasalu, Tõnis Neiland</v>
      </c>
      <c r="C303" s="451">
        <f t="shared" si="41"/>
        <v>17</v>
      </c>
      <c r="D303" s="404"/>
      <c r="E303" s="404"/>
      <c r="F303" s="988">
        <v>3</v>
      </c>
    </row>
    <row r="304" spans="1:42" x14ac:dyDescent="0.2">
      <c r="A304" s="449">
        <v>5</v>
      </c>
      <c r="B304" s="450" t="str">
        <f t="shared" si="40"/>
        <v>Olav Türk, Urmas Jõeäär</v>
      </c>
      <c r="C304" s="451">
        <f t="shared" si="41"/>
        <v>16</v>
      </c>
      <c r="D304" s="404"/>
      <c r="E304" s="404"/>
      <c r="F304" s="988">
        <v>3</v>
      </c>
    </row>
    <row r="305" spans="1:6" x14ac:dyDescent="0.2">
      <c r="A305" s="449">
        <v>6</v>
      </c>
      <c r="B305" s="450" t="str">
        <f t="shared" si="40"/>
        <v>Andres Veski, Elmo Lageda</v>
      </c>
      <c r="C305" s="451">
        <f t="shared" si="41"/>
        <v>15</v>
      </c>
      <c r="D305" s="404"/>
      <c r="E305" s="404"/>
      <c r="F305" s="988">
        <v>3</v>
      </c>
    </row>
    <row r="306" spans="1:6" x14ac:dyDescent="0.2">
      <c r="A306" s="449">
        <v>7</v>
      </c>
      <c r="B306" s="450" t="str">
        <f t="shared" si="40"/>
        <v>Henri Mitt, Urmas Randlaine</v>
      </c>
      <c r="C306" s="451">
        <f t="shared" si="41"/>
        <v>14</v>
      </c>
      <c r="D306" s="404"/>
      <c r="E306" s="404"/>
      <c r="F306" s="988">
        <v>3</v>
      </c>
    </row>
    <row r="307" spans="1:6" x14ac:dyDescent="0.2">
      <c r="A307" s="449">
        <v>8</v>
      </c>
      <c r="B307" s="450" t="str">
        <f t="shared" si="40"/>
        <v>Jaan Saar, Liidia Põllu</v>
      </c>
      <c r="C307" s="451">
        <f t="shared" si="41"/>
        <v>13</v>
      </c>
      <c r="D307" s="404"/>
      <c r="E307" s="404"/>
      <c r="F307" s="988">
        <v>2</v>
      </c>
    </row>
    <row r="308" spans="1:6" x14ac:dyDescent="0.2">
      <c r="A308" s="449">
        <v>9</v>
      </c>
      <c r="B308" s="450" t="str">
        <f t="shared" si="40"/>
        <v>Enn Tokman, Sirje Maala</v>
      </c>
      <c r="C308" s="451">
        <f t="shared" si="41"/>
        <v>12</v>
      </c>
      <c r="D308" s="404"/>
      <c r="E308" s="404"/>
      <c r="F308" s="988">
        <v>2</v>
      </c>
    </row>
    <row r="309" spans="1:6" x14ac:dyDescent="0.2">
      <c r="A309" s="449">
        <v>10</v>
      </c>
      <c r="B309" s="450" t="str">
        <f t="shared" si="40"/>
        <v>Lemmit Toomra, Tõnu Kapper</v>
      </c>
      <c r="C309" s="451">
        <f t="shared" si="41"/>
        <v>11</v>
      </c>
      <c r="D309" s="404"/>
      <c r="E309" s="404"/>
      <c r="F309" s="988">
        <v>2</v>
      </c>
    </row>
    <row r="310" spans="1:6" x14ac:dyDescent="0.2">
      <c r="A310" s="449">
        <v>11</v>
      </c>
      <c r="B310" s="450" t="str">
        <f t="shared" si="40"/>
        <v>Ljudmila Varendi, Viktor Švarõgin</v>
      </c>
      <c r="C310" s="451">
        <f t="shared" si="41"/>
        <v>10</v>
      </c>
      <c r="D310" s="403"/>
      <c r="E310" s="403"/>
      <c r="F310" s="987">
        <v>2</v>
      </c>
    </row>
    <row r="311" spans="1:6" x14ac:dyDescent="0.2">
      <c r="A311" s="449">
        <v>12</v>
      </c>
      <c r="B311" s="450" t="str">
        <f t="shared" si="40"/>
        <v>Kaspar Mänd, Oleg Rõndenkov</v>
      </c>
      <c r="C311" s="451">
        <f t="shared" si="41"/>
        <v>9</v>
      </c>
      <c r="D311" s="403"/>
      <c r="E311" s="403"/>
      <c r="F311" s="987">
        <v>1</v>
      </c>
    </row>
    <row r="312" spans="1:6" x14ac:dyDescent="0.2">
      <c r="A312" s="449">
        <v>13</v>
      </c>
      <c r="B312" s="450" t="str">
        <f t="shared" si="40"/>
        <v>Hardi Ahman, Joana Taalberg</v>
      </c>
      <c r="C312" s="451">
        <f t="shared" si="41"/>
        <v>8</v>
      </c>
      <c r="D312" s="403"/>
      <c r="E312" s="403"/>
      <c r="F312" s="987">
        <v>1</v>
      </c>
    </row>
    <row r="313" spans="1:6" x14ac:dyDescent="0.2">
      <c r="A313" s="449">
        <v>14</v>
      </c>
      <c r="B313" s="450" t="str">
        <f t="shared" si="40"/>
        <v>Illar Tõnurist, Peeter Rjabov, Tarmo Bombe</v>
      </c>
      <c r="C313" s="451">
        <f t="shared" si="41"/>
        <v>7</v>
      </c>
      <c r="F313" s="987">
        <v>0</v>
      </c>
    </row>
  </sheetData>
  <conditionalFormatting sqref="C8:C21">
    <cfRule type="expression" dxfId="1075" priority="40">
      <formula>IF($C8&gt;$E8,TRUE)</formula>
    </cfRule>
  </conditionalFormatting>
  <conditionalFormatting sqref="E8:E21">
    <cfRule type="expression" dxfId="1074" priority="41">
      <formula>IF($C8&lt;$E8,TRUE)</formula>
    </cfRule>
  </conditionalFormatting>
  <conditionalFormatting sqref="K8:K21">
    <cfRule type="expression" dxfId="1073" priority="48">
      <formula>IF($K8&gt;$M8,TRUE)</formula>
    </cfRule>
  </conditionalFormatting>
  <conditionalFormatting sqref="M8:M21">
    <cfRule type="expression" dxfId="1072" priority="49">
      <formula>IF($K8&lt;$M8,TRUE)</formula>
    </cfRule>
  </conditionalFormatting>
  <conditionalFormatting sqref="O8:O21">
    <cfRule type="expression" dxfId="1071" priority="52">
      <formula>IF($O8&gt;$Q8,TRUE)</formula>
    </cfRule>
  </conditionalFormatting>
  <conditionalFormatting sqref="Q8:Q21">
    <cfRule type="expression" dxfId="1070" priority="53">
      <formula>IF($O8&lt;$Q8,TRUE)</formula>
    </cfRule>
  </conditionalFormatting>
  <conditionalFormatting sqref="S8:S21">
    <cfRule type="expression" dxfId="1069" priority="56">
      <formula>IF($S8&gt;$U8,TRUE)</formula>
    </cfRule>
  </conditionalFormatting>
  <conditionalFormatting sqref="U8:U21">
    <cfRule type="expression" dxfId="1068" priority="57">
      <formula>IF($S8&lt;$U8,TRUE)</formula>
    </cfRule>
  </conditionalFormatting>
  <conditionalFormatting sqref="G8:G21">
    <cfRule type="expression" dxfId="1067" priority="44">
      <formula>IF($G8&gt;$I8,TRUE)</formula>
    </cfRule>
  </conditionalFormatting>
  <conditionalFormatting sqref="I8:I21">
    <cfRule type="expression" dxfId="1066" priority="45">
      <formula>IF($G8&lt;$I8,TRUE)</formula>
    </cfRule>
  </conditionalFormatting>
  <conditionalFormatting sqref="F8:F21">
    <cfRule type="containsText" dxfId="1065" priority="31" operator="containsText" text="vaba voor">
      <formula>NOT(ISERROR(SEARCH("vaba voor",F8)))</formula>
    </cfRule>
  </conditionalFormatting>
  <conditionalFormatting sqref="N8:N21">
    <cfRule type="containsText" dxfId="1064" priority="29" operator="containsText" text="vaba voor">
      <formula>NOT(ISERROR(SEARCH("vaba voor",N8)))</formula>
    </cfRule>
  </conditionalFormatting>
  <conditionalFormatting sqref="R8:R21">
    <cfRule type="containsText" dxfId="1063" priority="32" operator="containsText" text="vaba voor">
      <formula>NOT(ISERROR(SEARCH("vaba voor",R8)))</formula>
    </cfRule>
  </conditionalFormatting>
  <conditionalFormatting sqref="V8:V21">
    <cfRule type="containsText" dxfId="1062" priority="28" operator="containsText" text="vaba voor">
      <formula>NOT(ISERROR(SEARCH("vaba voor",V8)))</formula>
    </cfRule>
  </conditionalFormatting>
  <conditionalFormatting sqref="J8:J21">
    <cfRule type="containsText" dxfId="1061" priority="30" operator="containsText" text="vaba voor">
      <formula>NOT(ISERROR(SEARCH("vaba voor",J8)))</formula>
    </cfRule>
  </conditionalFormatting>
  <conditionalFormatting sqref="C8:F21">
    <cfRule type="expression" dxfId="1060" priority="36">
      <formula>IF(AND(ISNUMBER($C8),$C8=$E8),TRUE)</formula>
    </cfRule>
    <cfRule type="expression" dxfId="1059" priority="38">
      <formula>IF($C8&gt;$E8,TRUE)</formula>
    </cfRule>
    <cfRule type="expression" dxfId="1058" priority="39">
      <formula>IF($C8&lt;$E8,TRUE)</formula>
    </cfRule>
  </conditionalFormatting>
  <conditionalFormatting sqref="G8:J21">
    <cfRule type="expression" dxfId="1057" priority="37">
      <formula>IF(AND(ISNUMBER($G8),$G8=$I8),TRUE)</formula>
    </cfRule>
    <cfRule type="expression" dxfId="1056" priority="42">
      <formula>IF($G8&gt;$I8,TRUE)</formula>
    </cfRule>
    <cfRule type="expression" dxfId="1055" priority="43">
      <formula>IF($G8&lt;$I8,TRUE)</formula>
    </cfRule>
  </conditionalFormatting>
  <conditionalFormatting sqref="K8:N21">
    <cfRule type="expression" dxfId="1054" priority="35">
      <formula>IF(AND(ISNUMBER($K8),$K8=$M8),TRUE)</formula>
    </cfRule>
    <cfRule type="expression" dxfId="1053" priority="46">
      <formula>IF($K8&gt;$M8,TRUE)</formula>
    </cfRule>
    <cfRule type="expression" dxfId="1052" priority="47">
      <formula>IF($K8&lt;$M8,TRUE)</formula>
    </cfRule>
  </conditionalFormatting>
  <conditionalFormatting sqref="O8:R21">
    <cfRule type="expression" dxfId="1051" priority="34">
      <formula>IF(AND(ISNUMBER($O8),$O8=$Q8),TRUE)</formula>
    </cfRule>
    <cfRule type="expression" dxfId="1050" priority="50">
      <formula>IF($O8&gt;$Q8,TRUE)</formula>
    </cfRule>
    <cfRule type="expression" dxfId="1049" priority="51">
      <formula>IF($O8&lt;$Q8,TRUE)</formula>
    </cfRule>
  </conditionalFormatting>
  <conditionalFormatting sqref="S8:V21">
    <cfRule type="expression" dxfId="1048" priority="33">
      <formula>IF(AND(ISNUMBER($S8),$S8=$U8),TRUE)</formula>
    </cfRule>
    <cfRule type="expression" dxfId="1047" priority="54">
      <formula>IF($S8&gt;$U8,TRUE)</formula>
    </cfRule>
    <cfRule type="expression" dxfId="1046" priority="55">
      <formula>IF($S8&lt;$U8,TRUE)</formula>
    </cfRule>
  </conditionalFormatting>
  <conditionalFormatting sqref="C8:C21 G8:G21 K8:K21 O8:O21 S8:S21">
    <cfRule type="expression" dxfId="1045" priority="26">
      <formula>AND(C8=0,E8=13)</formula>
    </cfRule>
  </conditionalFormatting>
  <conditionalFormatting sqref="E8:E21 I8:I21 M8:M21 Q8:Q21 U8:U21">
    <cfRule type="expression" dxfId="1044" priority="27">
      <formula>AND(E8=0,C8=13)</formula>
    </cfRule>
  </conditionalFormatting>
  <conditionalFormatting sqref="A300:A313">
    <cfRule type="duplicateValues" dxfId="1043" priority="116"/>
  </conditionalFormatting>
  <conditionalFormatting sqref="A8:A21">
    <cfRule type="duplicateValues" dxfId="1042" priority="150"/>
  </conditionalFormatting>
  <conditionalFormatting sqref="B300:B313">
    <cfRule type="expression" dxfId="1041" priority="176">
      <formula>A300=3</formula>
    </cfRule>
    <cfRule type="expression" dxfId="1040" priority="177">
      <formula>A300=2</formula>
    </cfRule>
    <cfRule type="expression" dxfId="1039" priority="178">
      <formula>A300=1</formula>
    </cfRule>
    <cfRule type="containsBlanks" dxfId="1038" priority="179">
      <formula>LEN(TRIM(B300))=0</formula>
    </cfRule>
    <cfRule type="duplicateValues" dxfId="1037" priority="180"/>
  </conditionalFormatting>
  <conditionalFormatting sqref="AJ6:AJ297">
    <cfRule type="expression" dxfId="1036" priority="5">
      <formula>AND(AI6="",FIND(",",AJ6))</formula>
    </cfRule>
    <cfRule type="expression" dxfId="1035" priority="7">
      <formula>AND(AI6="",COUNTIF(AJ6,"*,*")=0)</formula>
    </cfRule>
  </conditionalFormatting>
  <conditionalFormatting sqref="AH6:AH297">
    <cfRule type="expression" dxfId="1034" priority="8">
      <formula>AND(AG6="",FIND(",",AH6))</formula>
    </cfRule>
    <cfRule type="expression" dxfId="1033" priority="9">
      <formula>AND(AG6="",COUNTIF(AH6,"*,*")=0)</formula>
    </cfRule>
  </conditionalFormatting>
  <conditionalFormatting sqref="AL6:AL297">
    <cfRule type="expression" dxfId="1032" priority="10">
      <formula>AND(AK6="",FIND(",",AL6))</formula>
    </cfRule>
    <cfRule type="expression" dxfId="1031" priority="11">
      <formula>AND(AK6="",COUNTIF(AL6,"*,*")=0)</formula>
    </cfRule>
  </conditionalFormatting>
  <conditionalFormatting sqref="AF6:AF297">
    <cfRule type="expression" dxfId="1030" priority="6">
      <formula>AND(AE6="",COUNTIF(AF6,"*,*")=0)</formula>
    </cfRule>
  </conditionalFormatting>
  <conditionalFormatting sqref="AN6:AN297">
    <cfRule type="expression" dxfId="1029" priority="2">
      <formula>AND(AM6="",COUNTIF(AN6,"*,*")=0)</formula>
    </cfRule>
    <cfRule type="expression" dxfId="1028" priority="4">
      <formula>AND(AM6="",FIND(",",AN6))</formula>
    </cfRule>
  </conditionalFormatting>
  <conditionalFormatting sqref="AP6:AP297">
    <cfRule type="expression" dxfId="1027" priority="1">
      <formula>AND(AO6="",COUNTIF(AP6,"*,*")=0)</formula>
    </cfRule>
    <cfRule type="expression" dxfId="102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15"/>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6.28515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26.57031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UPPER((Kalend!E27)&amp;" - "&amp;(Kalend!C27)&amp;" - "&amp;(Kalend!D27))</f>
        <v>V7 - VOKA VIII KV 7. ETAPP - DUO</v>
      </c>
      <c r="B1" s="403"/>
      <c r="C1" s="404"/>
      <c r="D1" s="403"/>
      <c r="E1" s="403"/>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"&amp;(Kalend!A27)&amp;" kell "&amp;(Kalend!B27)</f>
        <v>Toimumisaeg: K, 14.07.2021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"&amp;(Kalend!F27)</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"&amp;(Kalend!G27)</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8" si="0">SUM(AE7:AP7)</f>
        <v>0</v>
      </c>
      <c r="AE7" s="459" t="str">
        <f>IFERROR(INDEX(V!$R:$R,MATCH(AF7,V!$L:$L,0)),"")</f>
        <v/>
      </c>
      <c r="AF7" s="460" t="str">
        <f t="shared" ref="AF7:AF23" si="1">IFERROR(LEFT($B7,(FIND(",",$B7,1)-1)),"")</f>
        <v/>
      </c>
      <c r="AG7" s="459" t="str">
        <f>IFERROR(INDEX(V!$R:$R,MATCH(AH7,V!$L:$L,0)),"")</f>
        <v/>
      </c>
      <c r="AH7" s="460" t="str">
        <f t="shared" ref="AH7:AH23" si="2">IFERROR(MID($B7,FIND(", ",$B7)+2,256),"")</f>
        <v/>
      </c>
      <c r="AI7" s="459" t="str">
        <f>IFERROR(INDEX(V!$R:$R,MATCH(AJ7,V!$L:$L,0)),"")</f>
        <v/>
      </c>
      <c r="AJ7" s="460" t="str">
        <f t="shared" ref="AJ7:AJ23" si="3">IFERROR(MID($B7,FIND("^",SUBSTITUTE($B7,", ","^",1))+2,FIND("^",SUBSTITUTE($B7,", ","^",2))-FIND("^",SUBSTITUTE($B7,", ","^",1))-2),"")</f>
        <v/>
      </c>
      <c r="AK7" s="459" t="str">
        <f>IFERROR(INDEX(V!$R:$R,MATCH(AL7,V!$L:$L,0)),"")</f>
        <v/>
      </c>
      <c r="AL7" s="460" t="str">
        <f t="shared" ref="AL7:AL23" si="4">IFERROR(MID($B7,FIND(", ",$B7,FIND(", ",$B7,FIND(", ",$B7))+1)+2,30000),"")</f>
        <v/>
      </c>
      <c r="AM7" s="459" t="str">
        <f>IFERROR(INDEX(V!$R:$R,MATCH(AN7,V!$L:$L,0)),"")</f>
        <v/>
      </c>
      <c r="AN7" s="460" t="str">
        <f t="shared" ref="AN7:AN23" si="5">IFERROR(MID($B7,FIND(", ",$B7,FIND(", ",$B7)+1)+2,FIND(", ",$B7,FIND(", ",$B7,FIND(", ",$B7)+1)+1)-FIND(", ",$B7,FIND(", ",$B7)+1)-2),"")</f>
        <v/>
      </c>
      <c r="AO7" s="459" t="str">
        <f>IFERROR(INDEX(V!$R:$R,MATCH(AP7,V!$L:$L,0)),"")</f>
        <v/>
      </c>
      <c r="AP7" s="460" t="str">
        <f t="shared" ref="AP7:AP23" si="6">IFERROR(MID($B7,FIND(", ",$B7,FIND(", ",$B7,FIND(", ",$B7)+1)+1)+2,30000),"")</f>
        <v/>
      </c>
    </row>
    <row r="8" spans="1:42" x14ac:dyDescent="0.2">
      <c r="A8" s="435">
        <v>1</v>
      </c>
      <c r="B8" s="436" t="s">
        <v>251</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314</v>
      </c>
      <c r="AE8" s="459">
        <f>IFERROR(INDEX(V!$R:$R,MATCH(AF8,V!$L:$L,0)),"")</f>
        <v>159</v>
      </c>
      <c r="AF8" s="460" t="str">
        <f t="shared" si="1"/>
        <v>Meelis Luud</v>
      </c>
      <c r="AG8" s="459">
        <f>IFERROR(INDEX(V!$R:$R,MATCH(AH8,V!$L:$L,0)),"")</f>
        <v>155</v>
      </c>
      <c r="AH8" s="460" t="str">
        <f t="shared" si="2"/>
        <v>Sander Rose</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249</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9" si="7">IF(C9&gt;E9,J$3,IF(C9&lt;E9,J$5,IF(ISNUMBER(C9),J$4,0)))+IF(G9&gt;I9,J$3,IF(G9&lt;I9,J$5,IF(ISNUMBER(G9),J$4,0)))+IF(K9&gt;M9,J$3,IF(K9&lt;M9,J$5,IF(ISNUMBER(K9),J$4,0)))+IF(O9&gt;Q9,J$3,IF(O9&lt;Q9,J$5,IF(ISNUMBER(O9),J$4,0)))+IF(S9&gt;U9,J$3,IF(S9&lt;U9,J$5,IF(ISNUMBER(S9),J$4,0)))</f>
        <v>0</v>
      </c>
      <c r="X9" s="442"/>
      <c r="Y9" s="437">
        <f t="shared" ref="Y9:Y19" si="8">C9+G9+K9+O9+S9</f>
        <v>0</v>
      </c>
      <c r="Z9" s="438" t="s">
        <v>246</v>
      </c>
      <c r="AA9" s="443">
        <f t="shared" ref="AA9:AA19" si="9">E9+I9+M9+Q9+U9</f>
        <v>0</v>
      </c>
      <c r="AB9" s="444">
        <f t="shared" ref="AB9:AB19" si="10">Y9-AA9</f>
        <v>0</v>
      </c>
      <c r="AC9" s="445"/>
      <c r="AD9" s="458">
        <f t="shared" si="0"/>
        <v>215</v>
      </c>
      <c r="AE9" s="459">
        <f>IFERROR(INDEX(V!$R:$R,MATCH(AF9,V!$L:$L,0)),"")</f>
        <v>98</v>
      </c>
      <c r="AF9" s="460" t="str">
        <f t="shared" si="1"/>
        <v>Andrei Grintšak</v>
      </c>
      <c r="AG9" s="459">
        <f>IFERROR(INDEX(V!$R:$R,MATCH(AH9,V!$L:$L,0)),"")</f>
        <v>117</v>
      </c>
      <c r="AH9" s="460" t="str">
        <f t="shared" si="2"/>
        <v>Oleg Rõndenkov</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476</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231</v>
      </c>
      <c r="AE10" s="459">
        <f>IFERROR(INDEX(V!$R:$R,MATCH(AF10,V!$L:$L,0)),"")</f>
        <v>160</v>
      </c>
      <c r="AF10" s="460" t="str">
        <f t="shared" si="1"/>
        <v>Kenneth Muusikus</v>
      </c>
      <c r="AG10" s="459">
        <f>IFERROR(INDEX(V!$R:$R,MATCH(AH10,V!$L:$L,0)),"")</f>
        <v>71</v>
      </c>
      <c r="AH10" s="460" t="str">
        <f t="shared" si="2"/>
        <v>Marta Bernat</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268</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238</v>
      </c>
      <c r="AE11" s="459">
        <f>IFERROR(INDEX(V!$R:$R,MATCH(AF11,V!$L:$L,0)),"")</f>
        <v>104</v>
      </c>
      <c r="AF11" s="460" t="str">
        <f t="shared" si="1"/>
        <v>Boriss Klubov</v>
      </c>
      <c r="AG11" s="459">
        <f>IFERROR(INDEX(V!$R:$R,MATCH(AH11,V!$L:$L,0)),"")</f>
        <v>134</v>
      </c>
      <c r="AH11" s="460" t="str">
        <f t="shared" si="2"/>
        <v>Elmo Lageda</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258</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271</v>
      </c>
      <c r="AE12" s="459">
        <f>IFERROR(INDEX(V!$R:$R,MATCH(AF12,V!$L:$L,0)),"")</f>
        <v>132</v>
      </c>
      <c r="AF12" s="460" t="str">
        <f t="shared" si="1"/>
        <v>Henri Mitt</v>
      </c>
      <c r="AG12" s="459">
        <f>IFERROR(INDEX(V!$R:$R,MATCH(AH12,V!$L:$L,0)),"")</f>
        <v>139</v>
      </c>
      <c r="AH12" s="460" t="str">
        <f t="shared" si="2"/>
        <v>Urmas Randlaine</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511</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30</v>
      </c>
      <c r="AE13" s="459">
        <f>IFERROR(INDEX(V!$R:$R,MATCH(AF13,V!$L:$L,0)),"")</f>
        <v>15</v>
      </c>
      <c r="AF13" s="460" t="str">
        <f t="shared" si="1"/>
        <v>Kertu Palm</v>
      </c>
      <c r="AG13" s="459">
        <f>IFERROR(INDEX(V!$R:$R,MATCH(AH13,V!$L:$L,0)),"")</f>
        <v>15</v>
      </c>
      <c r="AH13" s="460" t="str">
        <f t="shared" si="2"/>
        <v>Valmar Pantšenko</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512</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271</v>
      </c>
      <c r="AE14" s="459">
        <f>IFERROR(INDEX(V!$R:$R,MATCH(AF14,V!$L:$L,0)),"")</f>
        <v>129</v>
      </c>
      <c r="AF14" s="460" t="str">
        <f t="shared" si="1"/>
        <v>Jaan Saar</v>
      </c>
      <c r="AG14" s="459" t="str">
        <f>IFERROR(INDEX(V!$R:$R,MATCH(AH14,V!$L:$L,0)),"")</f>
        <v/>
      </c>
      <c r="AH14" s="460" t="str">
        <f t="shared" si="2"/>
        <v>Johannes Neiland, Sirje Maala</v>
      </c>
      <c r="AI14" s="459">
        <f>IFERROR(INDEX(V!$R:$R,MATCH(AJ14,V!$L:$L,0)),"")</f>
        <v>80</v>
      </c>
      <c r="AJ14" s="460" t="str">
        <f t="shared" si="3"/>
        <v>Johannes Neiland</v>
      </c>
      <c r="AK14" s="459">
        <f>IFERROR(INDEX(V!$R:$R,MATCH(AL14,V!$L:$L,0)),"")</f>
        <v>62</v>
      </c>
      <c r="AL14" s="460" t="str">
        <f t="shared" si="4"/>
        <v>Sirje Maala</v>
      </c>
      <c r="AM14" s="459" t="str">
        <f>IFERROR(INDEX(V!$R:$R,MATCH(AN14,V!$L:$L,0)),"")</f>
        <v/>
      </c>
      <c r="AN14" s="460" t="str">
        <f t="shared" si="5"/>
        <v/>
      </c>
      <c r="AO14" s="459" t="str">
        <f>IFERROR(INDEX(V!$R:$R,MATCH(AP14,V!$L:$L,0)),"")</f>
        <v/>
      </c>
      <c r="AP14" s="460" t="str">
        <f t="shared" si="6"/>
        <v/>
      </c>
    </row>
    <row r="15" spans="1:42" x14ac:dyDescent="0.2">
      <c r="A15" s="435">
        <v>8</v>
      </c>
      <c r="B15" s="446" t="s">
        <v>513</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116</v>
      </c>
      <c r="AE15" s="459">
        <f>IFERROR(INDEX(V!$R:$R,MATCH(AF15,V!$L:$L,0)),"")</f>
        <v>103</v>
      </c>
      <c r="AF15" s="460" t="str">
        <f t="shared" si="1"/>
        <v>Olav Türk</v>
      </c>
      <c r="AG15" s="459">
        <f>IFERROR(INDEX(V!$R:$R,MATCH(AH15,V!$L:$L,0)),"")</f>
        <v>13</v>
      </c>
      <c r="AH15" s="460" t="str">
        <f t="shared" si="2"/>
        <v>Robert Kletenberg</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514</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170</v>
      </c>
      <c r="AE16" s="459">
        <f>IFERROR(INDEX(V!$R:$R,MATCH(AF16,V!$L:$L,0)),"")</f>
        <v>139</v>
      </c>
      <c r="AF16" s="460" t="str">
        <f t="shared" si="1"/>
        <v>Kaspar Mänd</v>
      </c>
      <c r="AG16" s="459">
        <f>IFERROR(INDEX(V!$R:$R,MATCH(AH16,V!$L:$L,0)),"")</f>
        <v>31</v>
      </c>
      <c r="AH16" s="460" t="str">
        <f t="shared" si="2"/>
        <v>Veroonika Mendes</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515</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181</v>
      </c>
      <c r="AE17" s="459">
        <f>IFERROR(INDEX(V!$R:$R,MATCH(AF17,V!$L:$L,0)),"")</f>
        <v>114</v>
      </c>
      <c r="AF17" s="460" t="str">
        <f t="shared" si="1"/>
        <v>Oliver Ojasalu</v>
      </c>
      <c r="AG17" s="459">
        <f>IFERROR(INDEX(V!$R:$R,MATCH(AH17,V!$L:$L,0)),"")</f>
        <v>67</v>
      </c>
      <c r="AH17" s="460" t="str">
        <f t="shared" si="2"/>
        <v>Urmas Jõeäär</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x14ac:dyDescent="0.2">
      <c r="A18" s="435">
        <v>11</v>
      </c>
      <c r="B18" s="446" t="s">
        <v>255</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7"/>
        <v>0</v>
      </c>
      <c r="X18" s="442"/>
      <c r="Y18" s="437">
        <f t="shared" si="8"/>
        <v>0</v>
      </c>
      <c r="Z18" s="438" t="s">
        <v>246</v>
      </c>
      <c r="AA18" s="443">
        <f t="shared" si="9"/>
        <v>0</v>
      </c>
      <c r="AB18" s="444">
        <f t="shared" si="10"/>
        <v>0</v>
      </c>
      <c r="AC18" s="445"/>
      <c r="AD18" s="458">
        <f t="shared" si="0"/>
        <v>259</v>
      </c>
      <c r="AE18" s="459">
        <f>IFERROR(INDEX(V!$R:$R,MATCH(AF18,V!$L:$L,0)),"")</f>
        <v>139</v>
      </c>
      <c r="AF18" s="460" t="str">
        <f t="shared" si="1"/>
        <v>Andres Veski</v>
      </c>
      <c r="AG18" s="459">
        <f>IFERROR(INDEX(V!$R:$R,MATCH(AH18,V!$L:$L,0)),"")</f>
        <v>120</v>
      </c>
      <c r="AH18" s="460" t="str">
        <f t="shared" si="2"/>
        <v>Svetlana Veski</v>
      </c>
      <c r="AI18" s="459" t="str">
        <f>IFERROR(INDEX(V!$R:$R,MATCH(AJ18,V!$L:$L,0)),"")</f>
        <v/>
      </c>
      <c r="AJ18" s="460" t="str">
        <f t="shared" si="3"/>
        <v/>
      </c>
      <c r="AK18" s="459" t="str">
        <f>IFERROR(INDEX(V!$R:$R,MATCH(AL18,V!$L:$L,0)),"")</f>
        <v/>
      </c>
      <c r="AL18" s="460" t="str">
        <f t="shared" si="4"/>
        <v/>
      </c>
      <c r="AM18" s="459" t="str">
        <f>IFERROR(INDEX(V!$R:$R,MATCH(AN18,V!$L:$L,0)),"")</f>
        <v/>
      </c>
      <c r="AN18" s="460" t="str">
        <f t="shared" si="5"/>
        <v/>
      </c>
      <c r="AO18" s="459" t="str">
        <f>IFERROR(INDEX(V!$R:$R,MATCH(AP18,V!$L:$L,0)),"")</f>
        <v/>
      </c>
      <c r="AP18" s="460" t="str">
        <f t="shared" si="6"/>
        <v/>
      </c>
    </row>
    <row r="19" spans="1:42" x14ac:dyDescent="0.2">
      <c r="A19" s="435">
        <v>12</v>
      </c>
      <c r="B19" s="446" t="s">
        <v>338</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7"/>
        <v>0</v>
      </c>
      <c r="X19" s="442"/>
      <c r="Y19" s="437">
        <f t="shared" si="8"/>
        <v>0</v>
      </c>
      <c r="Z19" s="438" t="s">
        <v>246</v>
      </c>
      <c r="AA19" s="443">
        <f t="shared" si="9"/>
        <v>0</v>
      </c>
      <c r="AB19" s="444">
        <f t="shared" si="10"/>
        <v>0</v>
      </c>
      <c r="AC19" s="445"/>
      <c r="AD19" s="458">
        <f t="shared" ref="AD19:AD23" si="11">SUM(AE19:AP19)</f>
        <v>146</v>
      </c>
      <c r="AE19" s="459">
        <f>IFERROR(INDEX(V!$R:$R,MATCH(AF19,V!$L:$L,0)),"")</f>
        <v>73</v>
      </c>
      <c r="AF19" s="460" t="str">
        <f t="shared" si="1"/>
        <v>Ljudmila Varendi</v>
      </c>
      <c r="AG19" s="459">
        <f>IFERROR(INDEX(V!$R:$R,MATCH(AH19,V!$L:$L,0)),"")</f>
        <v>73</v>
      </c>
      <c r="AH19" s="460" t="str">
        <f t="shared" si="2"/>
        <v>Viktor Švarõgin</v>
      </c>
      <c r="AI19" s="459" t="str">
        <f>IFERROR(INDEX(V!$R:$R,MATCH(AJ19,V!$L:$L,0)),"")</f>
        <v/>
      </c>
      <c r="AJ19" s="460" t="str">
        <f t="shared" si="3"/>
        <v/>
      </c>
      <c r="AK19" s="459" t="str">
        <f>IFERROR(INDEX(V!$R:$R,MATCH(AL19,V!$L:$L,0)),"")</f>
        <v/>
      </c>
      <c r="AL19" s="460" t="str">
        <f t="shared" si="4"/>
        <v/>
      </c>
      <c r="AM19" s="459" t="str">
        <f>IFERROR(INDEX(V!$R:$R,MATCH(AN19,V!$L:$L,0)),"")</f>
        <v/>
      </c>
      <c r="AN19" s="460" t="str">
        <f t="shared" si="5"/>
        <v/>
      </c>
      <c r="AO19" s="459" t="str">
        <f>IFERROR(INDEX(V!$R:$R,MATCH(AP19,V!$L:$L,0)),"")</f>
        <v/>
      </c>
      <c r="AP19" s="460" t="str">
        <f t="shared" si="6"/>
        <v/>
      </c>
    </row>
    <row r="20" spans="1:42" x14ac:dyDescent="0.2">
      <c r="A20" s="435">
        <v>13</v>
      </c>
      <c r="B20" s="446" t="s">
        <v>489</v>
      </c>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ref="W20:W23" si="12">IF(C20&gt;E20,J$3,IF(C20&lt;E20,J$5,IF(ISNUMBER(C20),J$4,0)))+IF(G20&gt;I20,J$3,IF(G20&lt;I20,J$5,IF(ISNUMBER(G20),J$4,0)))+IF(K20&gt;M20,J$3,IF(K20&lt;M20,J$5,IF(ISNUMBER(K20),J$4,0)))+IF(O20&gt;Q20,J$3,IF(O20&lt;Q20,J$5,IF(ISNUMBER(O20),J$4,0)))+IF(S20&gt;U20,J$3,IF(S20&lt;U20,J$5,IF(ISNUMBER(S20),J$4,0)))</f>
        <v>0</v>
      </c>
      <c r="X20" s="442"/>
      <c r="Y20" s="437">
        <f t="shared" ref="Y20:Y23" si="13">C20+G20+K20+O20+S20</f>
        <v>0</v>
      </c>
      <c r="Z20" s="438" t="s">
        <v>246</v>
      </c>
      <c r="AA20" s="443">
        <f t="shared" ref="AA20:AA23" si="14">E20+I20+M20+Q20+U20</f>
        <v>0</v>
      </c>
      <c r="AB20" s="444">
        <f t="shared" ref="AB20:AB23" si="15">Y20-AA20</f>
        <v>0</v>
      </c>
      <c r="AC20" s="403"/>
      <c r="AD20" s="458">
        <f t="shared" si="11"/>
        <v>186</v>
      </c>
      <c r="AE20" s="459">
        <f>IFERROR(INDEX(V!$R:$R,MATCH(AF20,V!$L:$L,0)),"")</f>
        <v>94</v>
      </c>
      <c r="AF20" s="460" t="str">
        <f t="shared" si="1"/>
        <v>Lemmit Toomra</v>
      </c>
      <c r="AG20" s="459">
        <f>IFERROR(INDEX(V!$R:$R,MATCH(AH20,V!$L:$L,0)),"")</f>
        <v>92</v>
      </c>
      <c r="AH20" s="460" t="str">
        <f t="shared" si="2"/>
        <v>Tõnu Kapper</v>
      </c>
      <c r="AI20" s="459" t="str">
        <f>IFERROR(INDEX(V!$R:$R,MATCH(AJ20,V!$L:$L,0)),"")</f>
        <v/>
      </c>
      <c r="AJ20" s="460" t="str">
        <f t="shared" si="3"/>
        <v/>
      </c>
      <c r="AK20" s="459" t="str">
        <f>IFERROR(INDEX(V!$R:$R,MATCH(AL20,V!$L:$L,0)),"")</f>
        <v/>
      </c>
      <c r="AL20" s="460" t="str">
        <f t="shared" si="4"/>
        <v/>
      </c>
      <c r="AM20" s="459" t="str">
        <f>IFERROR(INDEX(V!$R:$R,MATCH(AN20,V!$L:$L,0)),"")</f>
        <v/>
      </c>
      <c r="AN20" s="460" t="str">
        <f t="shared" si="5"/>
        <v/>
      </c>
      <c r="AO20" s="459" t="str">
        <f>IFERROR(INDEX(V!$R:$R,MATCH(AP20,V!$L:$L,0)),"")</f>
        <v/>
      </c>
      <c r="AP20" s="460" t="str">
        <f t="shared" si="6"/>
        <v/>
      </c>
    </row>
    <row r="21" spans="1:42" x14ac:dyDescent="0.2">
      <c r="A21" s="435">
        <v>14</v>
      </c>
      <c r="B21" s="446" t="s">
        <v>260</v>
      </c>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12"/>
        <v>0</v>
      </c>
      <c r="X21" s="442"/>
      <c r="Y21" s="437">
        <f t="shared" si="13"/>
        <v>0</v>
      </c>
      <c r="Z21" s="438" t="s">
        <v>246</v>
      </c>
      <c r="AA21" s="443">
        <f t="shared" si="14"/>
        <v>0</v>
      </c>
      <c r="AB21" s="444">
        <f t="shared" si="15"/>
        <v>0</v>
      </c>
      <c r="AC21" s="403"/>
      <c r="AD21" s="458">
        <f t="shared" si="11"/>
        <v>14</v>
      </c>
      <c r="AE21" s="459">
        <f>IFERROR(INDEX(V!$R:$R,MATCH(AF21,V!$L:$L,0)),"")</f>
        <v>7</v>
      </c>
      <c r="AF21" s="460" t="str">
        <f t="shared" si="1"/>
        <v>Heili Vasser</v>
      </c>
      <c r="AG21" s="459">
        <f>IFERROR(INDEX(V!$R:$R,MATCH(AH21,V!$L:$L,0)),"")</f>
        <v>7</v>
      </c>
      <c r="AH21" s="460" t="str">
        <f t="shared" si="2"/>
        <v>Vello Vasser</v>
      </c>
      <c r="AI21" s="459" t="str">
        <f>IFERROR(INDEX(V!$R:$R,MATCH(AJ21,V!$L:$L,0)),"")</f>
        <v/>
      </c>
      <c r="AJ21" s="460" t="str">
        <f t="shared" si="3"/>
        <v/>
      </c>
      <c r="AK21" s="459" t="str">
        <f>IFERROR(INDEX(V!$R:$R,MATCH(AL21,V!$L:$L,0)),"")</f>
        <v/>
      </c>
      <c r="AL21" s="460" t="str">
        <f t="shared" si="4"/>
        <v/>
      </c>
      <c r="AM21" s="459" t="str">
        <f>IFERROR(INDEX(V!$R:$R,MATCH(AN21,V!$L:$L,0)),"")</f>
        <v/>
      </c>
      <c r="AN21" s="460" t="str">
        <f t="shared" si="5"/>
        <v/>
      </c>
      <c r="AO21" s="459" t="str">
        <f>IFERROR(INDEX(V!$R:$R,MATCH(AP21,V!$L:$L,0)),"")</f>
        <v/>
      </c>
      <c r="AP21" s="460" t="str">
        <f t="shared" si="6"/>
        <v/>
      </c>
    </row>
    <row r="22" spans="1:42" x14ac:dyDescent="0.2">
      <c r="A22" s="435">
        <v>15</v>
      </c>
      <c r="B22" s="446" t="s">
        <v>516</v>
      </c>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12"/>
        <v>0</v>
      </c>
      <c r="X22" s="442"/>
      <c r="Y22" s="437">
        <f t="shared" si="13"/>
        <v>0</v>
      </c>
      <c r="Z22" s="438" t="s">
        <v>246</v>
      </c>
      <c r="AA22" s="443">
        <f t="shared" si="14"/>
        <v>0</v>
      </c>
      <c r="AB22" s="444">
        <f t="shared" si="15"/>
        <v>0</v>
      </c>
      <c r="AC22" s="403"/>
      <c r="AD22" s="458">
        <f t="shared" si="11"/>
        <v>12</v>
      </c>
      <c r="AE22" s="459">
        <f>IFERROR(INDEX(V!$R:$R,MATCH(AF22,V!$L:$L,0)),"")</f>
        <v>6</v>
      </c>
      <c r="AF22" s="460" t="str">
        <f t="shared" si="1"/>
        <v>Mikk Neem</v>
      </c>
      <c r="AG22" s="459">
        <f>IFERROR(INDEX(V!$R:$R,MATCH(AH22,V!$L:$L,0)),"")</f>
        <v>6</v>
      </c>
      <c r="AH22" s="460" t="str">
        <f t="shared" si="2"/>
        <v>Sigrid Jeletski</v>
      </c>
      <c r="AI22" s="459" t="str">
        <f>IFERROR(INDEX(V!$R:$R,MATCH(AJ22,V!$L:$L,0)),"")</f>
        <v/>
      </c>
      <c r="AJ22" s="460" t="str">
        <f t="shared" si="3"/>
        <v/>
      </c>
      <c r="AK22" s="459" t="str">
        <f>IFERROR(INDEX(V!$R:$R,MATCH(AL22,V!$L:$L,0)),"")</f>
        <v/>
      </c>
      <c r="AL22" s="460" t="str">
        <f t="shared" si="4"/>
        <v/>
      </c>
      <c r="AM22" s="459" t="str">
        <f>IFERROR(INDEX(V!$R:$R,MATCH(AN22,V!$L:$L,0)),"")</f>
        <v/>
      </c>
      <c r="AN22" s="460" t="str">
        <f t="shared" si="5"/>
        <v/>
      </c>
      <c r="AO22" s="459" t="str">
        <f>IFERROR(INDEX(V!$R:$R,MATCH(AP22,V!$L:$L,0)),"")</f>
        <v/>
      </c>
      <c r="AP22" s="460" t="str">
        <f t="shared" si="6"/>
        <v/>
      </c>
    </row>
    <row r="23" spans="1:42" x14ac:dyDescent="0.2">
      <c r="A23" s="435">
        <v>16</v>
      </c>
      <c r="B23" s="446" t="s">
        <v>502</v>
      </c>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12"/>
        <v>0</v>
      </c>
      <c r="X23" s="442"/>
      <c r="Y23" s="437">
        <f t="shared" si="13"/>
        <v>0</v>
      </c>
      <c r="Z23" s="438" t="s">
        <v>246</v>
      </c>
      <c r="AA23" s="443">
        <f t="shared" si="14"/>
        <v>0</v>
      </c>
      <c r="AB23" s="444">
        <f t="shared" si="15"/>
        <v>0</v>
      </c>
      <c r="AC23" s="403"/>
      <c r="AD23" s="458">
        <f t="shared" si="11"/>
        <v>68</v>
      </c>
      <c r="AE23" s="459">
        <f>IFERROR(INDEX(V!$R:$R,MATCH(AF23,V!$L:$L,0)),"")</f>
        <v>52</v>
      </c>
      <c r="AF23" s="460" t="str">
        <f t="shared" si="1"/>
        <v>Illar Tõnurist</v>
      </c>
      <c r="AG23" s="459">
        <f>IFERROR(INDEX(V!$R:$R,MATCH(AH23,V!$L:$L,0)),"")</f>
        <v>16</v>
      </c>
      <c r="AH23" s="460" t="str">
        <f t="shared" si="2"/>
        <v>Jüri Mitt</v>
      </c>
      <c r="AI23" s="459" t="str">
        <f>IFERROR(INDEX(V!$R:$R,MATCH(AJ23,V!$L:$L,0)),"")</f>
        <v/>
      </c>
      <c r="AJ23" s="460" t="str">
        <f t="shared" si="3"/>
        <v/>
      </c>
      <c r="AK23" s="459" t="str">
        <f>IFERROR(INDEX(V!$R:$R,MATCH(AL23,V!$L:$L,0)),"")</f>
        <v/>
      </c>
      <c r="AL23" s="460" t="str">
        <f t="shared" si="4"/>
        <v/>
      </c>
      <c r="AM23" s="459" t="str">
        <f>IFERROR(INDEX(V!$R:$R,MATCH(AN23,V!$L:$L,0)),"")</f>
        <v/>
      </c>
      <c r="AN23" s="460" t="str">
        <f t="shared" si="5"/>
        <v/>
      </c>
      <c r="AO23" s="459" t="str">
        <f>IFERROR(INDEX(V!$R:$R,MATCH(AP23,V!$L:$L,0)),"")</f>
        <v/>
      </c>
      <c r="AP23" s="460" t="str">
        <f t="shared" si="6"/>
        <v/>
      </c>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row>
    <row r="33" spans="1:2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row>
    <row r="34" spans="1:2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row>
    <row r="35" spans="1:2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row>
    <row r="36" spans="1:2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row>
    <row r="37" spans="1:2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row>
    <row r="38" spans="1:2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row>
    <row r="39" spans="1:2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row>
    <row r="40" spans="1:2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row>
    <row r="41" spans="1:2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row>
    <row r="42" spans="1:2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row>
    <row r="43" spans="1:2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row>
    <row r="44" spans="1:2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row>
    <row r="45" spans="1:2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row>
    <row r="46" spans="1:2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row>
    <row r="47" spans="1:2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row>
    <row r="48" spans="1:2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row>
    <row r="49" spans="1:2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row>
    <row r="50" spans="1:2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row>
    <row r="51" spans="1:2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row>
    <row r="52" spans="1:2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1:2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row>
    <row r="54" spans="1:2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row>
    <row r="55" spans="1:2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row>
    <row r="56" spans="1:2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row>
    <row r="57" spans="1:2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row>
    <row r="58" spans="1:2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row>
    <row r="59" spans="1:2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row>
    <row r="60" spans="1:2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row>
    <row r="61" spans="1:2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row>
    <row r="62" spans="1:2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row>
    <row r="63" spans="1:2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row>
    <row r="64" spans="1:2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row>
    <row r="65" spans="1:2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row>
    <row r="66" spans="1:2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row>
    <row r="67" spans="1:2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row>
    <row r="68" spans="1:2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row>
    <row r="69" spans="1:2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row>
    <row r="76" spans="1:2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row>
    <row r="77" spans="1:2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row>
    <row r="78" spans="1:2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row>
    <row r="79" spans="1:2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row>
    <row r="80" spans="1:2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row>
    <row r="81" spans="1:2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row>
    <row r="82" spans="1:2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row>
    <row r="83" spans="1:2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row>
    <row r="84" spans="1:2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row>
    <row r="85" spans="1:2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row>
    <row r="86" spans="1:2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row>
    <row r="88" spans="1:2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row>
    <row r="89" spans="1:2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row>
    <row r="90" spans="1:2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row>
    <row r="91" spans="1:2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row>
    <row r="92" spans="1:2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row>
    <row r="93" spans="1:2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row>
    <row r="94" spans="1:2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row>
    <row r="95" spans="1:2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row>
    <row r="96" spans="1:2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row>
    <row r="97" spans="1:2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row>
    <row r="98" spans="1:2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row>
    <row r="99" spans="1:2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row>
    <row r="100" spans="1:2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row>
    <row r="101" spans="1:2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row>
    <row r="102" spans="1:2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row>
    <row r="103" spans="1:2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row>
    <row r="104" spans="1:2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row>
    <row r="105" spans="1:2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row>
    <row r="106" spans="1:2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row>
    <row r="107" spans="1:2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row>
    <row r="108" spans="1:2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row>
    <row r="109" spans="1:2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row>
    <row r="110" spans="1:2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row>
    <row r="111" spans="1:2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row>
    <row r="112" spans="1:2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row>
    <row r="113" spans="1:2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row>
    <row r="114" spans="1:2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row>
    <row r="115" spans="1:2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row>
    <row r="116" spans="1:2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row>
    <row r="117" spans="1:2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row>
    <row r="118" spans="1:2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row>
    <row r="119" spans="1:2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row>
    <row r="120" spans="1:2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row>
    <row r="122" spans="1:2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row>
    <row r="123" spans="1:2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row>
    <row r="124" spans="1:2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row>
    <row r="125" spans="1:2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row>
    <row r="126" spans="1:2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row>
    <row r="127" spans="1:2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row>
    <row r="128" spans="1:2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row>
    <row r="129" spans="1:2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row>
    <row r="130" spans="1:2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row>
    <row r="131" spans="1:2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row>
    <row r="132" spans="1:2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row>
    <row r="133" spans="1:2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row>
    <row r="134" spans="1:2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row>
    <row r="136" spans="1:2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row>
    <row r="137" spans="1:2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row>
    <row r="138" spans="1:2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row>
    <row r="139" spans="1:2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row>
    <row r="140" spans="1:2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row>
    <row r="141" spans="1:2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row>
    <row r="142" spans="1:2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row>
    <row r="143" spans="1:2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row>
    <row r="144" spans="1:2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row>
    <row r="145" spans="1:2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row>
    <row r="146" spans="1:2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row>
    <row r="147" spans="1:2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row>
    <row r="148" spans="1:2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row>
    <row r="149" spans="1:2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row>
    <row r="150" spans="1:2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row>
    <row r="151" spans="1:2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row>
    <row r="152" spans="1:2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row>
    <row r="153" spans="1:2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row>
    <row r="154" spans="1:2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row>
    <row r="155" spans="1:2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row>
    <row r="156" spans="1:2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row>
    <row r="157" spans="1:2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row>
    <row r="158" spans="1:2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row>
    <row r="165" spans="1:2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row>
    <row r="166" spans="1:2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row>
    <row r="167" spans="1:2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row>
    <row r="168" spans="1:2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row>
    <row r="169" spans="1:2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row>
    <row r="170" spans="1:2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row>
    <row r="171" spans="1:2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row>
    <row r="172" spans="1:2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row>
    <row r="173" spans="1:2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row>
    <row r="174" spans="1:2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row>
    <row r="175" spans="1:2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row>
    <row r="176" spans="1:2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row>
    <row r="177" spans="1:2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row>
    <row r="178" spans="1:2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row>
    <row r="179" spans="1:2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row>
    <row r="180" spans="1:2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row>
    <row r="181" spans="1:2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row>
    <row r="182" spans="1:2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row>
    <row r="183" spans="1:2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row>
    <row r="184" spans="1:2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row>
    <row r="185" spans="1:2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row>
    <row r="186" spans="1:2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row>
    <row r="187" spans="1:2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row>
    <row r="188" spans="1:2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row>
    <row r="189" spans="1:2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row>
    <row r="190" spans="1:2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row>
    <row r="191" spans="1:2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row>
    <row r="192" spans="1:2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row>
    <row r="193" spans="1:2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row>
    <row r="194" spans="1:2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row>
    <row r="195" spans="1:2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row>
    <row r="196" spans="1:2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row>
    <row r="197" spans="1:2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row>
    <row r="198" spans="1:2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row>
    <row r="199" spans="1:2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row>
    <row r="200" spans="1:2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row>
    <row r="201" spans="1:2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row>
    <row r="202" spans="1:2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row>
    <row r="203" spans="1:2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row>
    <row r="204" spans="1:2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row>
    <row r="205" spans="1:2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row>
    <row r="206" spans="1:2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row>
    <row r="207" spans="1:2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row>
    <row r="208" spans="1:2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row>
    <row r="209" spans="1:2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row>
    <row r="210" spans="1:2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row>
    <row r="211" spans="1:2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row>
    <row r="212" spans="1:2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row>
    <row r="213" spans="1:2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row>
    <row r="214" spans="1:2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row>
    <row r="215" spans="1:2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row>
    <row r="216" spans="1:2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row>
    <row r="217" spans="1:2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row>
    <row r="218" spans="1:2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row>
    <row r="219" spans="1:2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row>
    <row r="220" spans="1:2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row>
    <row r="221" spans="1:2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row>
    <row r="222" spans="1:2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row>
    <row r="223" spans="1:2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row>
    <row r="224" spans="1:2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row>
    <row r="225" spans="1:2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row>
    <row r="226" spans="1:2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row>
    <row r="227" spans="1:2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row>
    <row r="228" spans="1:2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row>
    <row r="229" spans="1:2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row>
    <row r="230" spans="1:2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row>
    <row r="231" spans="1:2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row>
    <row r="232" spans="1:2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row>
    <row r="233" spans="1:2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row>
    <row r="234" spans="1:2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row>
    <row r="235" spans="1:2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row>
    <row r="236" spans="1:2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row>
    <row r="237" spans="1:2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row>
    <row r="238" spans="1:2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row>
    <row r="239" spans="1:2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row>
    <row r="240" spans="1:2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row>
    <row r="241" spans="1:2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row>
    <row r="242" spans="1:2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row>
    <row r="243" spans="1:2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row>
    <row r="244" spans="1:2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row>
    <row r="245" spans="1:2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row>
    <row r="246" spans="1:2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row>
    <row r="247" spans="1:2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row>
    <row r="248" spans="1:2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row>
    <row r="249" spans="1:2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row>
    <row r="250" spans="1:2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row>
    <row r="251" spans="1:2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row>
    <row r="252" spans="1:2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row>
    <row r="253" spans="1:2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row>
    <row r="254" spans="1:2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row>
    <row r="255" spans="1:2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row>
    <row r="256" spans="1:2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row>
    <row r="257" spans="1:2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row>
    <row r="258" spans="1:2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row>
    <row r="259" spans="1:2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row>
    <row r="260" spans="1:2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row>
    <row r="261" spans="1:2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row>
    <row r="262" spans="1:2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row>
    <row r="263" spans="1:2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row>
    <row r="264" spans="1:2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row>
    <row r="265" spans="1:2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row>
    <row r="266" spans="1:2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row>
    <row r="267" spans="1:2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row>
    <row r="268" spans="1:2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row>
    <row r="269" spans="1:2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row>
    <row r="270" spans="1:2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row>
    <row r="271" spans="1:2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row>
    <row r="272" spans="1:2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row>
    <row r="273" spans="1:2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row>
    <row r="274" spans="1:2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row>
    <row r="275" spans="1:2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row>
    <row r="276" spans="1:2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row>
    <row r="277" spans="1:2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row>
    <row r="278" spans="1:2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row>
    <row r="279" spans="1:2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row>
    <row r="280" spans="1:2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row>
    <row r="281" spans="1:2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row>
    <row r="282" spans="1:2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row>
    <row r="283" spans="1:2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row>
    <row r="284" spans="1:2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row>
    <row r="285" spans="1:2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row>
    <row r="286" spans="1:2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row>
    <row r="287" spans="1:29" hidden="1" x14ac:dyDescent="0.2">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row>
    <row r="288" spans="1:29" hidden="1" x14ac:dyDescent="0.2">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row>
    <row r="289" spans="1:39" hidden="1" x14ac:dyDescent="0.2">
      <c r="G289" s="403"/>
      <c r="H289" s="403"/>
      <c r="I289" s="403"/>
      <c r="J289" s="403"/>
      <c r="K289" s="403"/>
      <c r="L289" s="403"/>
      <c r="M289" s="403"/>
      <c r="N289" s="403"/>
      <c r="O289" s="403"/>
      <c r="P289" s="403"/>
      <c r="Q289" s="403"/>
      <c r="R289" s="403"/>
      <c r="S289" s="403"/>
      <c r="T289" s="403"/>
      <c r="U289" s="403"/>
      <c r="V289" s="403"/>
      <c r="W289" s="453"/>
      <c r="X289" s="403"/>
      <c r="Y289" s="403"/>
      <c r="Z289" s="403"/>
      <c r="AA289" s="403"/>
      <c r="AB289" s="403"/>
      <c r="AC289" s="403"/>
    </row>
    <row r="290" spans="1:39" hidden="1" x14ac:dyDescent="0.2">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row>
    <row r="291" spans="1:39" hidden="1" x14ac:dyDescent="0.2">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row>
    <row r="292" spans="1:39" hidden="1" x14ac:dyDescent="0.2">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row>
    <row r="293" spans="1:39" hidden="1" x14ac:dyDescent="0.2">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row>
    <row r="294" spans="1:39" hidden="1" x14ac:dyDescent="0.2">
      <c r="G294" s="403"/>
      <c r="H294" s="403"/>
      <c r="I294" s="403"/>
      <c r="J294" s="403"/>
      <c r="K294" s="403"/>
      <c r="L294" s="403"/>
      <c r="M294" s="403"/>
      <c r="N294" s="403"/>
      <c r="O294" s="403"/>
      <c r="P294" s="403"/>
      <c r="Q294" s="403"/>
      <c r="R294" s="403"/>
      <c r="S294" s="403"/>
      <c r="T294" s="403"/>
      <c r="U294" s="403"/>
      <c r="V294" s="403"/>
      <c r="W294" s="453"/>
      <c r="X294" s="403"/>
      <c r="Y294" s="403"/>
      <c r="Z294" s="403"/>
      <c r="AA294" s="403"/>
      <c r="AB294" s="403"/>
      <c r="AC294" s="403"/>
    </row>
    <row r="295" spans="1:39" hidden="1" x14ac:dyDescent="0.2">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row>
    <row r="296" spans="1:39" hidden="1" x14ac:dyDescent="0.2">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row>
    <row r="297" spans="1:39" x14ac:dyDescent="0.2">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row>
    <row r="298" spans="1:39" x14ac:dyDescent="0.2">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row>
    <row r="299" spans="1:39" x14ac:dyDescent="0.2">
      <c r="A299" s="403"/>
      <c r="B299" s="403"/>
      <c r="C299" s="447" t="s">
        <v>69</v>
      </c>
      <c r="D299" s="448"/>
      <c r="E299" s="448"/>
      <c r="F299" s="986"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t="str">
        <f t="shared" ref="B300:B311" si="16">IFERROR(INDEX(B$1:B$88,MATCH(A300,A$1:A$88,0)),"")</f>
        <v>Meelis Luud, Sander Rose</v>
      </c>
      <c r="C300" s="451">
        <f t="shared" ref="C300:C311" si="17">IF(21-A300&gt;0,IF(OR(A300=A301,A299=A300),21-A300-0.5,21-A300),1)</f>
        <v>20</v>
      </c>
      <c r="D300" s="452"/>
      <c r="E300" s="452"/>
      <c r="F300" s="988">
        <v>4</v>
      </c>
    </row>
    <row r="301" spans="1:39" x14ac:dyDescent="0.2">
      <c r="A301" s="449">
        <v>2</v>
      </c>
      <c r="B301" s="450" t="str">
        <f t="shared" si="16"/>
        <v>Andrei Grintšak, Oleg Rõndenkov</v>
      </c>
      <c r="C301" s="451">
        <f t="shared" si="17"/>
        <v>19</v>
      </c>
      <c r="D301" s="404"/>
      <c r="E301" s="404"/>
      <c r="F301" s="988">
        <v>4</v>
      </c>
    </row>
    <row r="302" spans="1:39" x14ac:dyDescent="0.2">
      <c r="A302" s="449">
        <v>3</v>
      </c>
      <c r="B302" s="450" t="str">
        <f t="shared" si="16"/>
        <v>Kenneth Muusikus, Marta Bernat</v>
      </c>
      <c r="C302" s="451">
        <f t="shared" si="17"/>
        <v>18</v>
      </c>
      <c r="D302" s="404"/>
      <c r="E302" s="404"/>
      <c r="F302" s="988">
        <v>4</v>
      </c>
    </row>
    <row r="303" spans="1:39" x14ac:dyDescent="0.2">
      <c r="A303" s="449">
        <v>4</v>
      </c>
      <c r="B303" s="450" t="str">
        <f t="shared" si="16"/>
        <v>Boriss Klubov, Elmo Lageda</v>
      </c>
      <c r="C303" s="451">
        <f t="shared" si="17"/>
        <v>17</v>
      </c>
      <c r="D303" s="404"/>
      <c r="E303" s="404"/>
      <c r="F303" s="988">
        <v>3</v>
      </c>
    </row>
    <row r="304" spans="1:39" x14ac:dyDescent="0.2">
      <c r="A304" s="449">
        <v>5</v>
      </c>
      <c r="B304" s="450" t="str">
        <f t="shared" si="16"/>
        <v>Henri Mitt, Urmas Randlaine</v>
      </c>
      <c r="C304" s="451">
        <f t="shared" si="17"/>
        <v>16</v>
      </c>
      <c r="D304" s="404"/>
      <c r="E304" s="404"/>
      <c r="F304" s="988">
        <v>3</v>
      </c>
    </row>
    <row r="305" spans="1:6" x14ac:dyDescent="0.2">
      <c r="A305" s="449">
        <v>6</v>
      </c>
      <c r="B305" s="450" t="str">
        <f t="shared" si="16"/>
        <v>Kertu Palm, Valmar Pantšenko</v>
      </c>
      <c r="C305" s="451">
        <f t="shared" si="17"/>
        <v>15</v>
      </c>
      <c r="D305" s="404"/>
      <c r="E305" s="404"/>
      <c r="F305" s="988">
        <v>3</v>
      </c>
    </row>
    <row r="306" spans="1:6" x14ac:dyDescent="0.2">
      <c r="A306" s="449">
        <v>7</v>
      </c>
      <c r="B306" s="450" t="str">
        <f t="shared" si="16"/>
        <v>Jaan Saar, Johannes Neiland, Sirje Maala</v>
      </c>
      <c r="C306" s="451">
        <f t="shared" si="17"/>
        <v>14</v>
      </c>
      <c r="D306" s="404"/>
      <c r="E306" s="404"/>
      <c r="F306" s="988">
        <v>3</v>
      </c>
    </row>
    <row r="307" spans="1:6" x14ac:dyDescent="0.2">
      <c r="A307" s="449">
        <v>8</v>
      </c>
      <c r="B307" s="450" t="str">
        <f t="shared" si="16"/>
        <v>Olav Türk, Robert Kletenberg</v>
      </c>
      <c r="C307" s="451">
        <f t="shared" si="17"/>
        <v>13</v>
      </c>
      <c r="D307" s="404"/>
      <c r="E307" s="404"/>
      <c r="F307" s="988">
        <v>3</v>
      </c>
    </row>
    <row r="308" spans="1:6" x14ac:dyDescent="0.2">
      <c r="A308" s="449">
        <v>9</v>
      </c>
      <c r="B308" s="450" t="str">
        <f t="shared" si="16"/>
        <v>Kaspar Mänd, Veroonika Mendes</v>
      </c>
      <c r="C308" s="451">
        <f t="shared" si="17"/>
        <v>12</v>
      </c>
      <c r="D308" s="404"/>
      <c r="E308" s="404"/>
      <c r="F308" s="988">
        <v>2</v>
      </c>
    </row>
    <row r="309" spans="1:6" x14ac:dyDescent="0.2">
      <c r="A309" s="449">
        <v>10</v>
      </c>
      <c r="B309" s="450" t="str">
        <f t="shared" si="16"/>
        <v>Oliver Ojasalu, Urmas Jõeäär</v>
      </c>
      <c r="C309" s="451">
        <f t="shared" si="17"/>
        <v>11</v>
      </c>
      <c r="D309" s="404"/>
      <c r="E309" s="404"/>
      <c r="F309" s="987">
        <v>2</v>
      </c>
    </row>
    <row r="310" spans="1:6" x14ac:dyDescent="0.2">
      <c r="A310" s="449">
        <v>11</v>
      </c>
      <c r="B310" s="450" t="str">
        <f t="shared" si="16"/>
        <v>Andres Veski, Svetlana Veski</v>
      </c>
      <c r="C310" s="451">
        <f t="shared" si="17"/>
        <v>10</v>
      </c>
      <c r="D310" s="403"/>
      <c r="E310" s="403"/>
      <c r="F310" s="987">
        <v>2</v>
      </c>
    </row>
    <row r="311" spans="1:6" x14ac:dyDescent="0.2">
      <c r="A311" s="449">
        <v>12</v>
      </c>
      <c r="B311" s="450" t="str">
        <f t="shared" si="16"/>
        <v>Ljudmila Varendi, Viktor Švarõgin</v>
      </c>
      <c r="C311" s="451">
        <f t="shared" si="17"/>
        <v>9</v>
      </c>
      <c r="D311" s="403"/>
      <c r="E311" s="403"/>
      <c r="F311" s="987">
        <v>2</v>
      </c>
    </row>
    <row r="312" spans="1:6" x14ac:dyDescent="0.2">
      <c r="A312" s="449">
        <v>13</v>
      </c>
      <c r="B312" s="450" t="str">
        <f t="shared" ref="B312:B315" si="18">IFERROR(INDEX(B$1:B$88,MATCH(A312,A$1:A$88,0)),"")</f>
        <v>Lemmit Toomra, Tõnu Kapper</v>
      </c>
      <c r="C312" s="451">
        <f t="shared" ref="C312:C315" si="19">IF(21-A312&gt;0,IF(OR(A312=A313,A311=A312),21-A312-0.5,21-A312),1)</f>
        <v>8</v>
      </c>
      <c r="D312" s="403"/>
      <c r="E312" s="403"/>
      <c r="F312" s="987">
        <v>2</v>
      </c>
    </row>
    <row r="313" spans="1:6" x14ac:dyDescent="0.2">
      <c r="A313" s="449">
        <v>14</v>
      </c>
      <c r="B313" s="450" t="str">
        <f t="shared" si="18"/>
        <v>Heili Vasser, Vello Vasser</v>
      </c>
      <c r="C313" s="451">
        <f t="shared" si="19"/>
        <v>7</v>
      </c>
      <c r="D313" s="403"/>
      <c r="E313" s="403"/>
      <c r="F313" s="987">
        <v>2</v>
      </c>
    </row>
    <row r="314" spans="1:6" x14ac:dyDescent="0.2">
      <c r="A314" s="449">
        <v>15</v>
      </c>
      <c r="B314" s="450" t="str">
        <f t="shared" si="18"/>
        <v>Mikk Neem, Sigrid Jeletski</v>
      </c>
      <c r="C314" s="451">
        <f t="shared" si="19"/>
        <v>6</v>
      </c>
      <c r="D314" s="403"/>
      <c r="E314" s="403"/>
      <c r="F314" s="987">
        <v>1</v>
      </c>
    </row>
    <row r="315" spans="1:6" x14ac:dyDescent="0.2">
      <c r="A315" s="449">
        <v>16</v>
      </c>
      <c r="B315" s="450" t="str">
        <f t="shared" si="18"/>
        <v>Illar Tõnurist, Jüri Mitt</v>
      </c>
      <c r="C315" s="451">
        <f t="shared" si="19"/>
        <v>5</v>
      </c>
      <c r="D315" s="403"/>
      <c r="E315" s="403"/>
      <c r="F315" s="987">
        <v>0</v>
      </c>
    </row>
  </sheetData>
  <conditionalFormatting sqref="C8:C23">
    <cfRule type="expression" dxfId="1025" priority="40">
      <formula>IF($C8&gt;$E8,TRUE)</formula>
    </cfRule>
  </conditionalFormatting>
  <conditionalFormatting sqref="E8:E23">
    <cfRule type="expression" dxfId="1024" priority="41">
      <formula>IF($C8&lt;$E8,TRUE)</formula>
    </cfRule>
  </conditionalFormatting>
  <conditionalFormatting sqref="K8:K23">
    <cfRule type="expression" dxfId="1023" priority="48">
      <formula>IF($K8&gt;$M8,TRUE)</formula>
    </cfRule>
  </conditionalFormatting>
  <conditionalFormatting sqref="M8:M23">
    <cfRule type="expression" dxfId="1022" priority="49">
      <formula>IF($K8&lt;$M8,TRUE)</formula>
    </cfRule>
  </conditionalFormatting>
  <conditionalFormatting sqref="O8:O23">
    <cfRule type="expression" dxfId="1021" priority="52">
      <formula>IF($O8&gt;$Q8,TRUE)</formula>
    </cfRule>
  </conditionalFormatting>
  <conditionalFormatting sqref="Q8:Q23">
    <cfRule type="expression" dxfId="1020" priority="53">
      <formula>IF($O8&lt;$Q8,TRUE)</formula>
    </cfRule>
  </conditionalFormatting>
  <conditionalFormatting sqref="S8:S23">
    <cfRule type="expression" dxfId="1019" priority="56">
      <formula>IF($S8&gt;$U8,TRUE)</formula>
    </cfRule>
  </conditionalFormatting>
  <conditionalFormatting sqref="U8:U23">
    <cfRule type="expression" dxfId="1018" priority="57">
      <formula>IF($S8&lt;$U8,TRUE)</formula>
    </cfRule>
  </conditionalFormatting>
  <conditionalFormatting sqref="G8:G23">
    <cfRule type="expression" dxfId="1017" priority="44">
      <formula>IF($G8&gt;$I8,TRUE)</formula>
    </cfRule>
  </conditionalFormatting>
  <conditionalFormatting sqref="I8:I23">
    <cfRule type="expression" dxfId="1016" priority="45">
      <formula>IF($G8&lt;$I8,TRUE)</formula>
    </cfRule>
  </conditionalFormatting>
  <conditionalFormatting sqref="F8:F23">
    <cfRule type="containsText" dxfId="1015" priority="31" operator="containsText" text="vaba voor">
      <formula>NOT(ISERROR(SEARCH("vaba voor",F8)))</formula>
    </cfRule>
  </conditionalFormatting>
  <conditionalFormatting sqref="N8:N23">
    <cfRule type="containsText" dxfId="1014" priority="29" operator="containsText" text="vaba voor">
      <formula>NOT(ISERROR(SEARCH("vaba voor",N8)))</formula>
    </cfRule>
  </conditionalFormatting>
  <conditionalFormatting sqref="R8:R23">
    <cfRule type="containsText" dxfId="1013" priority="32" operator="containsText" text="vaba voor">
      <formula>NOT(ISERROR(SEARCH("vaba voor",R8)))</formula>
    </cfRule>
  </conditionalFormatting>
  <conditionalFormatting sqref="V8:V23">
    <cfRule type="containsText" dxfId="1012" priority="28" operator="containsText" text="vaba voor">
      <formula>NOT(ISERROR(SEARCH("vaba voor",V8)))</formula>
    </cfRule>
  </conditionalFormatting>
  <conditionalFormatting sqref="J8:J23">
    <cfRule type="containsText" dxfId="1011" priority="30" operator="containsText" text="vaba voor">
      <formula>NOT(ISERROR(SEARCH("vaba voor",J8)))</formula>
    </cfRule>
  </conditionalFormatting>
  <conditionalFormatting sqref="C8:F23">
    <cfRule type="expression" dxfId="1010" priority="36">
      <formula>IF(AND(ISNUMBER($C8),$C8=$E8),TRUE)</formula>
    </cfRule>
    <cfRule type="expression" dxfId="1009" priority="38">
      <formula>IF($C8&gt;$E8,TRUE)</formula>
    </cfRule>
    <cfRule type="expression" dxfId="1008" priority="39">
      <formula>IF($C8&lt;$E8,TRUE)</formula>
    </cfRule>
  </conditionalFormatting>
  <conditionalFormatting sqref="G8:J23">
    <cfRule type="expression" dxfId="1007" priority="37">
      <formula>IF(AND(ISNUMBER($G8),$G8=$I8),TRUE)</formula>
    </cfRule>
    <cfRule type="expression" dxfId="1006" priority="42">
      <formula>IF($G8&gt;$I8,TRUE)</formula>
    </cfRule>
    <cfRule type="expression" dxfId="1005" priority="43">
      <formula>IF($G8&lt;$I8,TRUE)</formula>
    </cfRule>
  </conditionalFormatting>
  <conditionalFormatting sqref="K8:N23">
    <cfRule type="expression" dxfId="1004" priority="35">
      <formula>IF(AND(ISNUMBER($K8),$K8=$M8),TRUE)</formula>
    </cfRule>
    <cfRule type="expression" dxfId="1003" priority="46">
      <formula>IF($K8&gt;$M8,TRUE)</formula>
    </cfRule>
    <cfRule type="expression" dxfId="1002" priority="47">
      <formula>IF($K8&lt;$M8,TRUE)</formula>
    </cfRule>
  </conditionalFormatting>
  <conditionalFormatting sqref="O8:R23">
    <cfRule type="expression" dxfId="1001" priority="34">
      <formula>IF(AND(ISNUMBER($O8),$O8=$Q8),TRUE)</formula>
    </cfRule>
    <cfRule type="expression" dxfId="1000" priority="50">
      <formula>IF($O8&gt;$Q8,TRUE)</formula>
    </cfRule>
    <cfRule type="expression" dxfId="999" priority="51">
      <formula>IF($O8&lt;$Q8,TRUE)</formula>
    </cfRule>
  </conditionalFormatting>
  <conditionalFormatting sqref="S8:V23">
    <cfRule type="expression" dxfId="998" priority="33">
      <formula>IF(AND(ISNUMBER($S8),$S8=$U8),TRUE)</formula>
    </cfRule>
    <cfRule type="expression" dxfId="997" priority="54">
      <formula>IF($S8&gt;$U8,TRUE)</formula>
    </cfRule>
    <cfRule type="expression" dxfId="996" priority="55">
      <formula>IF($S8&lt;$U8,TRUE)</formula>
    </cfRule>
  </conditionalFormatting>
  <conditionalFormatting sqref="C8:C23 G8:G23 K8:K23 O8:O23 S8:S23">
    <cfRule type="expression" dxfId="995" priority="26">
      <formula>AND(C8=0,E8=13)</formula>
    </cfRule>
  </conditionalFormatting>
  <conditionalFormatting sqref="E8:E23 I8:I23 M8:M23 Q8:Q23 U8:U23">
    <cfRule type="expression" dxfId="994" priority="27">
      <formula>AND(E8=0,C8=13)</formula>
    </cfRule>
  </conditionalFormatting>
  <conditionalFormatting sqref="A300:A315">
    <cfRule type="duplicateValues" dxfId="993" priority="122"/>
  </conditionalFormatting>
  <conditionalFormatting sqref="A8:A23">
    <cfRule type="duplicateValues" dxfId="992" priority="149"/>
  </conditionalFormatting>
  <conditionalFormatting sqref="B300:B315">
    <cfRule type="expression" dxfId="991" priority="171">
      <formula>A300=3</formula>
    </cfRule>
    <cfRule type="expression" dxfId="990" priority="172">
      <formula>A300=2</formula>
    </cfRule>
    <cfRule type="expression" dxfId="989" priority="173">
      <formula>A300=1</formula>
    </cfRule>
    <cfRule type="containsBlanks" dxfId="988" priority="174">
      <formula>LEN(TRIM(B300))=0</formula>
    </cfRule>
    <cfRule type="duplicateValues" dxfId="987" priority="175"/>
  </conditionalFormatting>
  <conditionalFormatting sqref="AJ6:AJ23">
    <cfRule type="expression" dxfId="986" priority="5">
      <formula>AND(AI6="",FIND(",",AJ6))</formula>
    </cfRule>
    <cfRule type="expression" dxfId="985" priority="7">
      <formula>AND(AI6="",COUNTIF(AJ6,"*,*")=0)</formula>
    </cfRule>
  </conditionalFormatting>
  <conditionalFormatting sqref="AH6:AH23">
    <cfRule type="expression" dxfId="984" priority="8">
      <formula>AND(AG6="",FIND(",",AH6))</formula>
    </cfRule>
    <cfRule type="expression" dxfId="983" priority="9">
      <formula>AND(AG6="",COUNTIF(AH6,"*,*")=0)</formula>
    </cfRule>
  </conditionalFormatting>
  <conditionalFormatting sqref="AL6:AL23">
    <cfRule type="expression" dxfId="982" priority="10">
      <formula>AND(AK6="",FIND(",",AL6))</formula>
    </cfRule>
    <cfRule type="expression" dxfId="981" priority="11">
      <formula>AND(AK6="",COUNTIF(AL6,"*,*")=0)</formula>
    </cfRule>
  </conditionalFormatting>
  <conditionalFormatting sqref="AF6:AF23">
    <cfRule type="expression" dxfId="980" priority="6">
      <formula>AND(AE6="",COUNTIF(AF6,"*,*")=0)</formula>
    </cfRule>
  </conditionalFormatting>
  <conditionalFormatting sqref="AN6:AN23">
    <cfRule type="expression" dxfId="979" priority="2">
      <formula>AND(AM6="",COUNTIF(AN6,"*,*")=0)</formula>
    </cfRule>
    <cfRule type="expression" dxfId="978" priority="4">
      <formula>AND(AM6="",FIND(",",AN6))</formula>
    </cfRule>
  </conditionalFormatting>
  <conditionalFormatting sqref="AP6:AP23">
    <cfRule type="expression" dxfId="977" priority="1">
      <formula>AND(AO6="",COUNTIF(AP6,"*,*")=0)</formula>
    </cfRule>
    <cfRule type="expression" dxfId="97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09"/>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51"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6.57031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UPPER((Kalend!E32)&amp;" - "&amp;(Kalend!C32)&amp;" - "&amp;(Kalend!D32))</f>
        <v>V8 - VOKA VIII KV 8. ETAPP - DUO</v>
      </c>
      <c r="B1" s="403"/>
      <c r="C1" s="404"/>
      <c r="D1" s="403"/>
      <c r="E1" s="406"/>
      <c r="F1" s="406"/>
      <c r="G1" s="406"/>
      <c r="H1" s="406"/>
      <c r="I1" s="406"/>
      <c r="J1" s="406"/>
      <c r="K1" s="406"/>
      <c r="L1" s="406"/>
      <c r="M1" s="406"/>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"&amp;(Kalend!A32)&amp;" kell "&amp;(Kalend!B32)</f>
        <v>Toimumisaeg: K, 28.07.2021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"&amp;(Kalend!F32)</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"&amp;(Kalend!G32)</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SUM(AE7:AP7)</f>
        <v>0</v>
      </c>
      <c r="AE7" s="459" t="str">
        <f>IFERROR(INDEX(V!$R:$R,MATCH(AF7,V!$L:$L,0)),"")</f>
        <v/>
      </c>
      <c r="AF7" s="460" t="str">
        <f t="shared" ref="AF7:AF17" si="1">IFERROR(LEFT($B7,(FIND(",",$B7,1)-1)),"")</f>
        <v/>
      </c>
      <c r="AG7" s="459" t="str">
        <f>IFERROR(INDEX(V!$R:$R,MATCH(AH7,V!$L:$L,0)),"")</f>
        <v/>
      </c>
      <c r="AH7" s="460" t="str">
        <f t="shared" ref="AH7:AH17" si="2">IFERROR(MID($B7,FIND(", ",$B7)+2,256),"")</f>
        <v/>
      </c>
      <c r="AI7" s="459" t="str">
        <f>IFERROR(INDEX(V!$R:$R,MATCH(AJ7,V!$L:$L,0)),"")</f>
        <v/>
      </c>
      <c r="AJ7" s="460" t="str">
        <f t="shared" ref="AJ7:AJ17" si="3">IFERROR(MID($B7,FIND("^",SUBSTITUTE($B7,", ","^",1))+2,FIND("^",SUBSTITUTE($B7,", ","^",2))-FIND("^",SUBSTITUTE($B7,", ","^",1))-2),"")</f>
        <v/>
      </c>
      <c r="AK7" s="459" t="str">
        <f>IFERROR(INDEX(V!$R:$R,MATCH(AL7,V!$L:$L,0)),"")</f>
        <v/>
      </c>
      <c r="AL7" s="460" t="str">
        <f t="shared" ref="AL7:AL17" si="4">IFERROR(MID($B7,FIND(", ",$B7,FIND(", ",$B7,FIND(", ",$B7))+1)+2,30000),"")</f>
        <v/>
      </c>
      <c r="AM7" s="459" t="str">
        <f>IFERROR(INDEX(V!$R:$R,MATCH(AN7,V!$L:$L,0)),"")</f>
        <v/>
      </c>
      <c r="AN7" s="460" t="str">
        <f t="shared" ref="AN7:AN17" si="5">IFERROR(MID($B7,FIND(", ",$B7,FIND(", ",$B7)+1)+2,FIND(", ",$B7,FIND(", ",$B7,FIND(", ",$B7)+1)+1)-FIND(", ",$B7,FIND(", ",$B7)+1)-2),"")</f>
        <v/>
      </c>
      <c r="AO7" s="459" t="str">
        <f>IFERROR(INDEX(V!$R:$R,MATCH(AP7,V!$L:$L,0)),"")</f>
        <v/>
      </c>
      <c r="AP7" s="460" t="str">
        <f t="shared" ref="AP7:AP17" si="6">IFERROR(MID($B7,FIND(", ",$B7,FIND(", ",$B7,FIND(", ",$B7)+1)+1)+2,30000),"")</f>
        <v/>
      </c>
    </row>
    <row r="8" spans="1:42" x14ac:dyDescent="0.2">
      <c r="A8" s="435">
        <v>1</v>
      </c>
      <c r="B8" s="436" t="s">
        <v>268</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238</v>
      </c>
      <c r="AE8" s="459">
        <f>IFERROR(INDEX(V!$R:$R,MATCH(AF8,V!$L:$L,0)),"")</f>
        <v>104</v>
      </c>
      <c r="AF8" s="460" t="str">
        <f t="shared" si="1"/>
        <v>Boriss Klubov</v>
      </c>
      <c r="AG8" s="459">
        <f>IFERROR(INDEX(V!$R:$R,MATCH(AH8,V!$L:$L,0)),"")</f>
        <v>134</v>
      </c>
      <c r="AH8" s="460" t="str">
        <f t="shared" si="2"/>
        <v>Elmo Lageda</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521</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7" si="7">IF(C9&gt;E9,J$3,IF(C9&lt;E9,J$5,IF(ISNUMBER(C9),J$4,0)))+IF(G9&gt;I9,J$3,IF(G9&lt;I9,J$5,IF(ISNUMBER(G9),J$4,0)))+IF(K9&gt;M9,J$3,IF(K9&lt;M9,J$5,IF(ISNUMBER(K9),J$4,0)))+IF(O9&gt;Q9,J$3,IF(O9&lt;Q9,J$5,IF(ISNUMBER(O9),J$4,0)))+IF(S9&gt;U9,J$3,IF(S9&lt;U9,J$5,IF(ISNUMBER(S9),J$4,0)))</f>
        <v>0</v>
      </c>
      <c r="X9" s="442"/>
      <c r="Y9" s="437">
        <f t="shared" ref="Y9:Y17" si="8">C9+G9+K9+O9+S9</f>
        <v>0</v>
      </c>
      <c r="Z9" s="438" t="s">
        <v>246</v>
      </c>
      <c r="AA9" s="443">
        <f t="shared" ref="AA9:AA17" si="9">E9+I9+M9+Q9+U9</f>
        <v>0</v>
      </c>
      <c r="AB9" s="444">
        <f t="shared" ref="AB9:AB17" si="10">Y9-AA9</f>
        <v>0</v>
      </c>
      <c r="AC9" s="445"/>
      <c r="AD9" s="458">
        <f t="shared" si="0"/>
        <v>191</v>
      </c>
      <c r="AE9" s="459">
        <f>IFERROR(INDEX(V!$R:$R,MATCH(AF9,V!$L:$L,0)),"")</f>
        <v>160</v>
      </c>
      <c r="AF9" s="460" t="str">
        <f t="shared" si="1"/>
        <v>Kenneth Muusikus</v>
      </c>
      <c r="AG9" s="459">
        <f>IFERROR(INDEX(V!$R:$R,MATCH(AH9,V!$L:$L,0)),"")</f>
        <v>31</v>
      </c>
      <c r="AH9" s="460" t="str">
        <f t="shared" si="2"/>
        <v>Veroonika Mendes</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522</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278</v>
      </c>
      <c r="AE10" s="459">
        <f>IFERROR(INDEX(V!$R:$R,MATCH(AF10,V!$L:$L,0)),"")</f>
        <v>139</v>
      </c>
      <c r="AF10" s="460" t="str">
        <f t="shared" si="1"/>
        <v>Kaspar Mänd</v>
      </c>
      <c r="AG10" s="459">
        <f>IFERROR(INDEX(V!$R:$R,MATCH(AH10,V!$L:$L,0)),"")</f>
        <v>139</v>
      </c>
      <c r="AH10" s="460" t="str">
        <f t="shared" si="2"/>
        <v>Urmas Randlaine</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251</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314</v>
      </c>
      <c r="AE11" s="459">
        <f>IFERROR(INDEX(V!$R:$R,MATCH(AF11,V!$L:$L,0)),"")</f>
        <v>159</v>
      </c>
      <c r="AF11" s="460" t="str">
        <f t="shared" si="1"/>
        <v>Meelis Luud</v>
      </c>
      <c r="AG11" s="459">
        <f>IFERROR(INDEX(V!$R:$R,MATCH(AH11,V!$L:$L,0)),"")</f>
        <v>155</v>
      </c>
      <c r="AH11" s="460" t="str">
        <f t="shared" si="2"/>
        <v>Sander Rose</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531</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176</v>
      </c>
      <c r="AE12" s="459">
        <f>IFERROR(INDEX(V!$R:$R,MATCH(AF12,V!$L:$L,0)),"")</f>
        <v>25</v>
      </c>
      <c r="AF12" s="460" t="str">
        <f t="shared" si="1"/>
        <v>Aleksander Korikov</v>
      </c>
      <c r="AG12" s="459" t="str">
        <f>IFERROR(INDEX(V!$R:$R,MATCH(AH12,V!$L:$L,0)),"")</f>
        <v/>
      </c>
      <c r="AH12" s="460" t="str">
        <f t="shared" si="2"/>
        <v>Oksana Rõndenkova, Oleg Rõndenkov</v>
      </c>
      <c r="AI12" s="459">
        <f>IFERROR(INDEX(V!$R:$R,MATCH(AJ12,V!$L:$L,0)),"")</f>
        <v>34</v>
      </c>
      <c r="AJ12" s="460" t="str">
        <f t="shared" si="3"/>
        <v>Oksana Rõndenkova</v>
      </c>
      <c r="AK12" s="459">
        <f>IFERROR(INDEX(V!$R:$R,MATCH(AL12,V!$L:$L,0)),"")</f>
        <v>117</v>
      </c>
      <c r="AL12" s="460" t="str">
        <f t="shared" si="4"/>
        <v>Oleg Rõndenkov</v>
      </c>
      <c r="AM12" s="459" t="str">
        <f>IFERROR(INDEX(V!$R:$R,MATCH(AN12,V!$L:$L,0)),"")</f>
        <v/>
      </c>
      <c r="AN12" s="460" t="str">
        <f t="shared" si="5"/>
        <v/>
      </c>
      <c r="AO12" s="459" t="str">
        <f>IFERROR(INDEX(V!$R:$R,MATCH(AP12,V!$L:$L,0)),"")</f>
        <v/>
      </c>
      <c r="AP12" s="460" t="str">
        <f t="shared" si="6"/>
        <v/>
      </c>
    </row>
    <row r="13" spans="1:42" x14ac:dyDescent="0.2">
      <c r="A13" s="435">
        <v>6</v>
      </c>
      <c r="B13" s="436" t="s">
        <v>255</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259</v>
      </c>
      <c r="AE13" s="459">
        <f>IFERROR(INDEX(V!$R:$R,MATCH(AF13,V!$L:$L,0)),"")</f>
        <v>139</v>
      </c>
      <c r="AF13" s="460" t="str">
        <f t="shared" si="1"/>
        <v>Andres Veski</v>
      </c>
      <c r="AG13" s="459">
        <f>IFERROR(INDEX(V!$R:$R,MATCH(AH13,V!$L:$L,0)),"")</f>
        <v>120</v>
      </c>
      <c r="AH13" s="460" t="str">
        <f t="shared" si="2"/>
        <v>Svetlana Veski</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523</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28</v>
      </c>
      <c r="AE14" s="459">
        <f>IFERROR(INDEX(V!$R:$R,MATCH(AF14,V!$L:$L,0)),"")</f>
        <v>14</v>
      </c>
      <c r="AF14" s="460" t="str">
        <f t="shared" si="1"/>
        <v>Kristel Mark</v>
      </c>
      <c r="AG14" s="459">
        <f>IFERROR(INDEX(V!$R:$R,MATCH(AH14,V!$L:$L,0)),"")</f>
        <v>14</v>
      </c>
      <c r="AH14" s="460" t="str">
        <f t="shared" si="2"/>
        <v>Merilin Neiland</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524</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191</v>
      </c>
      <c r="AE15" s="459">
        <f>IFERROR(INDEX(V!$R:$R,MATCH(AF15,V!$L:$L,0)),"")</f>
        <v>129</v>
      </c>
      <c r="AF15" s="460" t="str">
        <f t="shared" si="1"/>
        <v>Jaan Saar</v>
      </c>
      <c r="AG15" s="459">
        <f>IFERROR(INDEX(V!$R:$R,MATCH(AH15,V!$L:$L,0)),"")</f>
        <v>62</v>
      </c>
      <c r="AH15" s="460" t="str">
        <f t="shared" si="2"/>
        <v>Sirje Maala</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338</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146</v>
      </c>
      <c r="AE16" s="459">
        <f>IFERROR(INDEX(V!$R:$R,MATCH(AF16,V!$L:$L,0)),"")</f>
        <v>73</v>
      </c>
      <c r="AF16" s="460" t="str">
        <f t="shared" si="1"/>
        <v>Ljudmila Varendi</v>
      </c>
      <c r="AG16" s="459">
        <f>IFERROR(INDEX(V!$R:$R,MATCH(AH16,V!$L:$L,0)),"")</f>
        <v>73</v>
      </c>
      <c r="AH16" s="460" t="str">
        <f t="shared" si="2"/>
        <v>Viktor Švarõgin</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489</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186</v>
      </c>
      <c r="AE17" s="459">
        <f>IFERROR(INDEX(V!$R:$R,MATCH(AF17,V!$L:$L,0)),"")</f>
        <v>94</v>
      </c>
      <c r="AF17" s="460" t="str">
        <f t="shared" si="1"/>
        <v>Lemmit Toomra</v>
      </c>
      <c r="AG17" s="459">
        <f>IFERROR(INDEX(V!$R:$R,MATCH(AH17,V!$L:$L,0)),"")</f>
        <v>92</v>
      </c>
      <c r="AH17" s="460" t="str">
        <f t="shared" si="2"/>
        <v>Tõnu Kapper</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48"/>
      <c r="E287" s="448"/>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52"/>
      <c r="E288" s="452"/>
      <c r="F288" s="403"/>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5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5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row>
    <row r="297" spans="1:39" hidden="1"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row>
    <row r="298" spans="1:39" x14ac:dyDescent="0.2">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row>
    <row r="299" spans="1:39" x14ac:dyDescent="0.2">
      <c r="A299" s="403"/>
      <c r="B299" s="403"/>
      <c r="C299" s="447" t="s">
        <v>69</v>
      </c>
      <c r="D299" s="403"/>
      <c r="E299" s="403"/>
      <c r="F299" s="986"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t="str">
        <f t="shared" ref="B300:B309" si="11">IFERROR(INDEX(B$1:B$88,MATCH(A300,A$1:A$88,0)),"")</f>
        <v>Boriss Klubov, Elmo Lageda</v>
      </c>
      <c r="C300" s="451">
        <f t="shared" ref="C300:C309" si="12">IF(21-A300&gt;0,IF(OR(A300=A301,A299=A300),21-A300-0.5,21-A300),1)</f>
        <v>20</v>
      </c>
      <c r="F300" s="985">
        <v>4</v>
      </c>
    </row>
    <row r="301" spans="1:39" x14ac:dyDescent="0.2">
      <c r="A301" s="449">
        <v>2</v>
      </c>
      <c r="B301" s="450" t="str">
        <f t="shared" si="11"/>
        <v>Kenneth Muusikus, Veroonika Mendes</v>
      </c>
      <c r="C301" s="451">
        <f t="shared" si="12"/>
        <v>19</v>
      </c>
      <c r="F301" s="985">
        <v>3</v>
      </c>
    </row>
    <row r="302" spans="1:39" x14ac:dyDescent="0.2">
      <c r="A302" s="449">
        <v>3</v>
      </c>
      <c r="B302" s="450" t="str">
        <f t="shared" si="11"/>
        <v>Kaspar Mänd, Urmas Randlaine</v>
      </c>
      <c r="C302" s="451">
        <f t="shared" si="12"/>
        <v>18</v>
      </c>
      <c r="F302" s="985">
        <v>3</v>
      </c>
    </row>
    <row r="303" spans="1:39" x14ac:dyDescent="0.2">
      <c r="A303" s="449">
        <v>4</v>
      </c>
      <c r="B303" s="450" t="str">
        <f t="shared" si="11"/>
        <v>Meelis Luud, Sander Rose</v>
      </c>
      <c r="C303" s="451">
        <f t="shared" si="12"/>
        <v>17</v>
      </c>
      <c r="F303" s="985">
        <v>3</v>
      </c>
    </row>
    <row r="304" spans="1:39" x14ac:dyDescent="0.2">
      <c r="A304" s="449">
        <v>5</v>
      </c>
      <c r="B304" s="450" t="str">
        <f t="shared" si="11"/>
        <v>Aleksander Korikov, Oksana Rõndenkova, Oleg Rõndenkov</v>
      </c>
      <c r="C304" s="451">
        <f t="shared" si="12"/>
        <v>16</v>
      </c>
      <c r="F304" s="985">
        <v>2</v>
      </c>
    </row>
    <row r="305" spans="1:6" x14ac:dyDescent="0.2">
      <c r="A305" s="449">
        <v>6</v>
      </c>
      <c r="B305" s="450" t="str">
        <f t="shared" si="11"/>
        <v>Andres Veski, Svetlana Veski</v>
      </c>
      <c r="C305" s="451">
        <f t="shared" si="12"/>
        <v>15</v>
      </c>
      <c r="F305" s="985">
        <v>2</v>
      </c>
    </row>
    <row r="306" spans="1:6" x14ac:dyDescent="0.2">
      <c r="A306" s="449">
        <v>7</v>
      </c>
      <c r="B306" s="450" t="str">
        <f t="shared" si="11"/>
        <v>Kristel Mark, Merilin Neiland</v>
      </c>
      <c r="C306" s="451">
        <f t="shared" si="12"/>
        <v>14</v>
      </c>
      <c r="F306" s="985">
        <v>1</v>
      </c>
    </row>
    <row r="307" spans="1:6" x14ac:dyDescent="0.2">
      <c r="A307" s="449">
        <v>8</v>
      </c>
      <c r="B307" s="450" t="str">
        <f t="shared" si="11"/>
        <v>Jaan Saar, Sirje Maala</v>
      </c>
      <c r="C307" s="451">
        <f t="shared" si="12"/>
        <v>13</v>
      </c>
      <c r="F307" s="985">
        <v>1</v>
      </c>
    </row>
    <row r="308" spans="1:6" x14ac:dyDescent="0.2">
      <c r="A308" s="449">
        <v>9</v>
      </c>
      <c r="B308" s="450" t="str">
        <f t="shared" si="11"/>
        <v>Ljudmila Varendi, Viktor Švarõgin</v>
      </c>
      <c r="C308" s="451">
        <f t="shared" si="12"/>
        <v>12</v>
      </c>
      <c r="F308" s="985">
        <v>1</v>
      </c>
    </row>
    <row r="309" spans="1:6" x14ac:dyDescent="0.2">
      <c r="A309" s="449">
        <v>10</v>
      </c>
      <c r="B309" s="450" t="str">
        <f t="shared" si="11"/>
        <v>Lemmit Toomra, Tõnu Kapper</v>
      </c>
      <c r="C309" s="451">
        <f t="shared" si="12"/>
        <v>11</v>
      </c>
      <c r="F309" s="985">
        <v>0</v>
      </c>
    </row>
  </sheetData>
  <conditionalFormatting sqref="C8:C17">
    <cfRule type="expression" dxfId="975" priority="40">
      <formula>IF($C8&gt;$E8,TRUE)</formula>
    </cfRule>
  </conditionalFormatting>
  <conditionalFormatting sqref="E8:E17">
    <cfRule type="expression" dxfId="974" priority="41">
      <formula>IF($C8&lt;$E8,TRUE)</formula>
    </cfRule>
  </conditionalFormatting>
  <conditionalFormatting sqref="K8:K17">
    <cfRule type="expression" dxfId="973" priority="48">
      <formula>IF($K8&gt;$M8,TRUE)</formula>
    </cfRule>
  </conditionalFormatting>
  <conditionalFormatting sqref="M8:M17">
    <cfRule type="expression" dxfId="972" priority="49">
      <formula>IF($K8&lt;$M8,TRUE)</formula>
    </cfRule>
  </conditionalFormatting>
  <conditionalFormatting sqref="O8:O17">
    <cfRule type="expression" dxfId="971" priority="52">
      <formula>IF($O8&gt;$Q8,TRUE)</formula>
    </cfRule>
  </conditionalFormatting>
  <conditionalFormatting sqref="Q8:Q17">
    <cfRule type="expression" dxfId="970" priority="53">
      <formula>IF($O8&lt;$Q8,TRUE)</formula>
    </cfRule>
  </conditionalFormatting>
  <conditionalFormatting sqref="S8:S17">
    <cfRule type="expression" dxfId="969" priority="56">
      <formula>IF($S8&gt;$U8,TRUE)</formula>
    </cfRule>
  </conditionalFormatting>
  <conditionalFormatting sqref="U8:U17">
    <cfRule type="expression" dxfId="968" priority="57">
      <formula>IF($S8&lt;$U8,TRUE)</formula>
    </cfRule>
  </conditionalFormatting>
  <conditionalFormatting sqref="G8:G17">
    <cfRule type="expression" dxfId="967" priority="44">
      <formula>IF($G8&gt;$I8,TRUE)</formula>
    </cfRule>
  </conditionalFormatting>
  <conditionalFormatting sqref="I8:I17">
    <cfRule type="expression" dxfId="966" priority="45">
      <formula>IF($G8&lt;$I8,TRUE)</formula>
    </cfRule>
  </conditionalFormatting>
  <conditionalFormatting sqref="F8:F17">
    <cfRule type="containsText" dxfId="965" priority="31" operator="containsText" text="vaba voor">
      <formula>NOT(ISERROR(SEARCH("vaba voor",F8)))</formula>
    </cfRule>
  </conditionalFormatting>
  <conditionalFormatting sqref="N8:N17">
    <cfRule type="containsText" dxfId="964" priority="29" operator="containsText" text="vaba voor">
      <formula>NOT(ISERROR(SEARCH("vaba voor",N8)))</formula>
    </cfRule>
  </conditionalFormatting>
  <conditionalFormatting sqref="R8:R17">
    <cfRule type="containsText" dxfId="963" priority="32" operator="containsText" text="vaba voor">
      <formula>NOT(ISERROR(SEARCH("vaba voor",R8)))</formula>
    </cfRule>
  </conditionalFormatting>
  <conditionalFormatting sqref="V8:V17">
    <cfRule type="containsText" dxfId="962" priority="28" operator="containsText" text="vaba voor">
      <formula>NOT(ISERROR(SEARCH("vaba voor",V8)))</formula>
    </cfRule>
  </conditionalFormatting>
  <conditionalFormatting sqref="J8:J17">
    <cfRule type="containsText" dxfId="961" priority="30" operator="containsText" text="vaba voor">
      <formula>NOT(ISERROR(SEARCH("vaba voor",J8)))</formula>
    </cfRule>
  </conditionalFormatting>
  <conditionalFormatting sqref="C8:F17">
    <cfRule type="expression" dxfId="960" priority="36">
      <formula>IF(AND(ISNUMBER($C8),$C8=$E8),TRUE)</formula>
    </cfRule>
    <cfRule type="expression" dxfId="959" priority="38">
      <formula>IF($C8&gt;$E8,TRUE)</formula>
    </cfRule>
    <cfRule type="expression" dxfId="958" priority="39">
      <formula>IF($C8&lt;$E8,TRUE)</formula>
    </cfRule>
  </conditionalFormatting>
  <conditionalFormatting sqref="G8:J17">
    <cfRule type="expression" dxfId="957" priority="37">
      <formula>IF(AND(ISNUMBER($G8),$G8=$I8),TRUE)</formula>
    </cfRule>
    <cfRule type="expression" dxfId="956" priority="42">
      <formula>IF($G8&gt;$I8,TRUE)</formula>
    </cfRule>
    <cfRule type="expression" dxfId="955" priority="43">
      <formula>IF($G8&lt;$I8,TRUE)</formula>
    </cfRule>
  </conditionalFormatting>
  <conditionalFormatting sqref="K8:N17">
    <cfRule type="expression" dxfId="954" priority="35">
      <formula>IF(AND(ISNUMBER($K8),$K8=$M8),TRUE)</formula>
    </cfRule>
    <cfRule type="expression" dxfId="953" priority="46">
      <formula>IF($K8&gt;$M8,TRUE)</formula>
    </cfRule>
    <cfRule type="expression" dxfId="952" priority="47">
      <formula>IF($K8&lt;$M8,TRUE)</formula>
    </cfRule>
  </conditionalFormatting>
  <conditionalFormatting sqref="O8:R17">
    <cfRule type="expression" dxfId="951" priority="34">
      <formula>IF(AND(ISNUMBER($O8),$O8=$Q8),TRUE)</formula>
    </cfRule>
    <cfRule type="expression" dxfId="950" priority="50">
      <formula>IF($O8&gt;$Q8,TRUE)</formula>
    </cfRule>
    <cfRule type="expression" dxfId="949" priority="51">
      <formula>IF($O8&lt;$Q8,TRUE)</formula>
    </cfRule>
  </conditionalFormatting>
  <conditionalFormatting sqref="S8:V17">
    <cfRule type="expression" dxfId="948" priority="33">
      <formula>IF(AND(ISNUMBER($S8),$S8=$U8),TRUE)</formula>
    </cfRule>
    <cfRule type="expression" dxfId="947" priority="54">
      <formula>IF($S8&gt;$U8,TRUE)</formula>
    </cfRule>
    <cfRule type="expression" dxfId="946" priority="55">
      <formula>IF($S8&lt;$U8,TRUE)</formula>
    </cfRule>
  </conditionalFormatting>
  <conditionalFormatting sqref="C8:C17 G8:G17 K8:K17 O8:O17 S8:S17">
    <cfRule type="expression" dxfId="945" priority="26">
      <formula>AND(C8=0,E8=13)</formula>
    </cfRule>
  </conditionalFormatting>
  <conditionalFormatting sqref="E8:E17 I8:I17 M8:M17 Q8:Q17 U8:U17">
    <cfRule type="expression" dxfId="944" priority="27">
      <formula>AND(E8=0,C8=13)</formula>
    </cfRule>
  </conditionalFormatting>
  <conditionalFormatting sqref="A300:A309">
    <cfRule type="duplicateValues" dxfId="943" priority="128"/>
  </conditionalFormatting>
  <conditionalFormatting sqref="A8:A17">
    <cfRule type="duplicateValues" dxfId="942" priority="148"/>
  </conditionalFormatting>
  <conditionalFormatting sqref="B300:B309">
    <cfRule type="expression" dxfId="941" priority="166">
      <formula>A300=3</formula>
    </cfRule>
    <cfRule type="expression" dxfId="940" priority="167">
      <formula>A300=2</formula>
    </cfRule>
    <cfRule type="expression" dxfId="939" priority="168">
      <formula>A300=1</formula>
    </cfRule>
    <cfRule type="containsBlanks" dxfId="938" priority="169">
      <formula>LEN(TRIM(B300))=0</formula>
    </cfRule>
    <cfRule type="duplicateValues" dxfId="937" priority="170"/>
  </conditionalFormatting>
  <conditionalFormatting sqref="AJ6:AJ17">
    <cfRule type="expression" dxfId="936" priority="5">
      <formula>AND(AI6="",FIND(",",AJ6))</formula>
    </cfRule>
    <cfRule type="expression" dxfId="935" priority="7">
      <formula>AND(AI6="",COUNTIF(AJ6,"*,*")=0)</formula>
    </cfRule>
  </conditionalFormatting>
  <conditionalFormatting sqref="AH6:AH17">
    <cfRule type="expression" dxfId="934" priority="8">
      <formula>AND(AG6="",FIND(",",AH6))</formula>
    </cfRule>
    <cfRule type="expression" dxfId="933" priority="9">
      <formula>AND(AG6="",COUNTIF(AH6,"*,*")=0)</formula>
    </cfRule>
  </conditionalFormatting>
  <conditionalFormatting sqref="AL6:AL17">
    <cfRule type="expression" dxfId="932" priority="10">
      <formula>AND(AK6="",FIND(",",AL6))</formula>
    </cfRule>
    <cfRule type="expression" dxfId="931" priority="11">
      <formula>AND(AK6="",COUNTIF(AL6,"*,*")=0)</formula>
    </cfRule>
  </conditionalFormatting>
  <conditionalFormatting sqref="AF6:AF17">
    <cfRule type="expression" dxfId="930" priority="6">
      <formula>AND(AE6="",COUNTIF(AF6,"*,*")=0)</formula>
    </cfRule>
  </conditionalFormatting>
  <conditionalFormatting sqref="AN6:AN17">
    <cfRule type="expression" dxfId="929" priority="2">
      <formula>AND(AM6="",COUNTIF(AN6,"*,*")=0)</formula>
    </cfRule>
    <cfRule type="expression" dxfId="928" priority="4">
      <formula>AND(AM6="",FIND(",",AN6))</formula>
    </cfRule>
  </conditionalFormatting>
  <conditionalFormatting sqref="AP6:AP17">
    <cfRule type="expression" dxfId="927" priority="1">
      <formula>AND(AO6="",COUNTIF(AP6,"*,*")=0)</formula>
    </cfRule>
    <cfRule type="expression" dxfId="92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11"/>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3.28515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5.285156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UPPER((Kalend!E35)&amp;" - "&amp;(Kalend!C35)&amp;" - "&amp;(Kalend!D35))</f>
        <v>V9 - VOKA VIII KV 9. ETAPP - DUO</v>
      </c>
      <c r="B1" s="403"/>
      <c r="C1" s="404"/>
      <c r="D1" s="403"/>
      <c r="E1" s="403"/>
      <c r="F1" s="406"/>
      <c r="G1" s="406"/>
      <c r="H1" s="406"/>
      <c r="I1" s="406"/>
      <c r="J1" s="406"/>
      <c r="K1" s="406"/>
      <c r="L1" s="406"/>
      <c r="M1" s="406"/>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"&amp;(Kalend!A35)&amp;" kell "&amp;(Kalend!B35)</f>
        <v>Toimumisaeg: K, 11.08.2021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"&amp;(Kalend!F35)</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"&amp;(Kalend!G35)</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6" si="0">SUM(AE7:AP7)</f>
        <v>0</v>
      </c>
      <c r="AE7" s="459" t="str">
        <f>IFERROR(INDEX(V!$R:$R,MATCH(AF7,V!$L:$L,0)),"")</f>
        <v/>
      </c>
      <c r="AF7" s="460" t="str">
        <f t="shared" ref="AF7:AF19" si="1">IFERROR(LEFT($B7,(FIND(",",$B7,1)-1)),"")</f>
        <v/>
      </c>
      <c r="AG7" s="459" t="str">
        <f>IFERROR(INDEX(V!$R:$R,MATCH(AH7,V!$L:$L,0)),"")</f>
        <v/>
      </c>
      <c r="AH7" s="460" t="str">
        <f t="shared" ref="AH7:AH19" si="2">IFERROR(MID($B7,FIND(", ",$B7)+2,256),"")</f>
        <v/>
      </c>
      <c r="AI7" s="459" t="str">
        <f>IFERROR(INDEX(V!$R:$R,MATCH(AJ7,V!$L:$L,0)),"")</f>
        <v/>
      </c>
      <c r="AJ7" s="460" t="str">
        <f t="shared" ref="AJ7:AJ19" si="3">IFERROR(MID($B7,FIND("^",SUBSTITUTE($B7,", ","^",1))+2,FIND("^",SUBSTITUTE($B7,", ","^",2))-FIND("^",SUBSTITUTE($B7,", ","^",1))-2),"")</f>
        <v/>
      </c>
      <c r="AK7" s="459" t="str">
        <f>IFERROR(INDEX(V!$R:$R,MATCH(AL7,V!$L:$L,0)),"")</f>
        <v/>
      </c>
      <c r="AL7" s="460" t="str">
        <f t="shared" ref="AL7:AL19" si="4">IFERROR(MID($B7,FIND(", ",$B7,FIND(", ",$B7,FIND(", ",$B7))+1)+2,30000),"")</f>
        <v/>
      </c>
      <c r="AM7" s="459" t="str">
        <f>IFERROR(INDEX(V!$R:$R,MATCH(AN7,V!$L:$L,0)),"")</f>
        <v/>
      </c>
      <c r="AN7" s="460" t="str">
        <f t="shared" ref="AN7:AN19" si="5">IFERROR(MID($B7,FIND(", ",$B7,FIND(", ",$B7)+1)+2,FIND(", ",$B7,FIND(", ",$B7,FIND(", ",$B7)+1)+1)-FIND(", ",$B7,FIND(", ",$B7)+1)-2),"")</f>
        <v/>
      </c>
      <c r="AO7" s="459" t="str">
        <f>IFERROR(INDEX(V!$R:$R,MATCH(AP7,V!$L:$L,0)),"")</f>
        <v/>
      </c>
      <c r="AP7" s="460" t="str">
        <f t="shared" ref="AP7:AP19" si="6">IFERROR(MID($B7,FIND(", ",$B7,FIND(", ",$B7,FIND(", ",$B7)+1)+1)+2,30000),"")</f>
        <v/>
      </c>
    </row>
    <row r="8" spans="1:42" x14ac:dyDescent="0.2">
      <c r="A8" s="435">
        <v>1</v>
      </c>
      <c r="B8" s="436" t="s">
        <v>476</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231</v>
      </c>
      <c r="AE8" s="459">
        <f>IFERROR(INDEX(V!$R:$R,MATCH(AF8,V!$L:$L,0)),"")</f>
        <v>160</v>
      </c>
      <c r="AF8" s="460" t="str">
        <f t="shared" si="1"/>
        <v>Kenneth Muusikus</v>
      </c>
      <c r="AG8" s="459">
        <f>IFERROR(INDEX(V!$R:$R,MATCH(AH8,V!$L:$L,0)),"")</f>
        <v>71</v>
      </c>
      <c r="AH8" s="460" t="str">
        <f t="shared" si="2"/>
        <v>Marta Bernat</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492</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6" si="7">IF(C9&gt;E9,J$3,IF(C9&lt;E9,J$5,IF(ISNUMBER(C9),J$4,0)))+IF(G9&gt;I9,J$3,IF(G9&lt;I9,J$5,IF(ISNUMBER(G9),J$4,0)))+IF(K9&gt;M9,J$3,IF(K9&lt;M9,J$5,IF(ISNUMBER(K9),J$4,0)))+IF(O9&gt;Q9,J$3,IF(O9&lt;Q9,J$5,IF(ISNUMBER(O9),J$4,0)))+IF(S9&gt;U9,J$3,IF(S9&lt;U9,J$5,IF(ISNUMBER(S9),J$4,0)))</f>
        <v>0</v>
      </c>
      <c r="X9" s="442"/>
      <c r="Y9" s="437">
        <f t="shared" ref="Y9:Y16" si="8">C9+G9+K9+O9+S9</f>
        <v>0</v>
      </c>
      <c r="Z9" s="438" t="s">
        <v>246</v>
      </c>
      <c r="AA9" s="443">
        <f t="shared" ref="AA9:AA16" si="9">E9+I9+M9+Q9+U9</f>
        <v>0</v>
      </c>
      <c r="AB9" s="444">
        <f t="shared" ref="AB9:AB16" si="10">Y9-AA9</f>
        <v>0</v>
      </c>
      <c r="AC9" s="445"/>
      <c r="AD9" s="458">
        <f t="shared" si="0"/>
        <v>217</v>
      </c>
      <c r="AE9" s="459">
        <f>IFERROR(INDEX(V!$R:$R,MATCH(AF9,V!$L:$L,0)),"")</f>
        <v>114</v>
      </c>
      <c r="AF9" s="460" t="str">
        <f t="shared" si="1"/>
        <v>Oliver Ojasalu</v>
      </c>
      <c r="AG9" s="459">
        <f>IFERROR(INDEX(V!$R:$R,MATCH(AH9,V!$L:$L,0)),"")</f>
        <v>103</v>
      </c>
      <c r="AH9" s="460" t="str">
        <f t="shared" si="2"/>
        <v>Tõnis Neiland</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253</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151</v>
      </c>
      <c r="AE10" s="459">
        <f>IFERROR(INDEX(V!$R:$R,MATCH(AF10,V!$L:$L,0)),"")</f>
        <v>34</v>
      </c>
      <c r="AF10" s="460" t="str">
        <f t="shared" si="1"/>
        <v>Oksana Rõndenkova</v>
      </c>
      <c r="AG10" s="459">
        <f>IFERROR(INDEX(V!$R:$R,MATCH(AH10,V!$L:$L,0)),"")</f>
        <v>117</v>
      </c>
      <c r="AH10" s="460" t="str">
        <f t="shared" si="2"/>
        <v>Oleg Rõndenkov</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489</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186</v>
      </c>
      <c r="AE11" s="459">
        <f>IFERROR(INDEX(V!$R:$R,MATCH(AF11,V!$L:$L,0)),"")</f>
        <v>94</v>
      </c>
      <c r="AF11" s="460" t="str">
        <f t="shared" si="1"/>
        <v>Lemmit Toomra</v>
      </c>
      <c r="AG11" s="459">
        <f>IFERROR(INDEX(V!$R:$R,MATCH(AH11,V!$L:$L,0)),"")</f>
        <v>92</v>
      </c>
      <c r="AH11" s="460" t="str">
        <f t="shared" si="2"/>
        <v>Tõnu Kapper</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251</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314</v>
      </c>
      <c r="AE12" s="459">
        <f>IFERROR(INDEX(V!$R:$R,MATCH(AF12,V!$L:$L,0)),"")</f>
        <v>159</v>
      </c>
      <c r="AF12" s="460" t="str">
        <f t="shared" si="1"/>
        <v>Meelis Luud</v>
      </c>
      <c r="AG12" s="459">
        <f>IFERROR(INDEX(V!$R:$R,MATCH(AH12,V!$L:$L,0)),"")</f>
        <v>155</v>
      </c>
      <c r="AH12" s="460" t="str">
        <f t="shared" si="2"/>
        <v>Sander Rose</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268</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238</v>
      </c>
      <c r="AE13" s="459">
        <f>IFERROR(INDEX(V!$R:$R,MATCH(AF13,V!$L:$L,0)),"")</f>
        <v>104</v>
      </c>
      <c r="AF13" s="460" t="str">
        <f t="shared" si="1"/>
        <v>Boriss Klubov</v>
      </c>
      <c r="AG13" s="459">
        <f>IFERROR(INDEX(V!$R:$R,MATCH(AH13,V!$L:$L,0)),"")</f>
        <v>134</v>
      </c>
      <c r="AH13" s="460" t="str">
        <f t="shared" si="2"/>
        <v>Elmo Lageda</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338</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146</v>
      </c>
      <c r="AE14" s="459">
        <f>IFERROR(INDEX(V!$R:$R,MATCH(AF14,V!$L:$L,0)),"")</f>
        <v>73</v>
      </c>
      <c r="AF14" s="460" t="str">
        <f t="shared" si="1"/>
        <v>Ljudmila Varendi</v>
      </c>
      <c r="AG14" s="459">
        <f>IFERROR(INDEX(V!$R:$R,MATCH(AH14,V!$L:$L,0)),"")</f>
        <v>73</v>
      </c>
      <c r="AH14" s="460" t="str">
        <f t="shared" si="2"/>
        <v>Viktor Švarõgin</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255</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259</v>
      </c>
      <c r="AE15" s="459">
        <f>IFERROR(INDEX(V!$R:$R,MATCH(AF15,V!$L:$L,0)),"")</f>
        <v>139</v>
      </c>
      <c r="AF15" s="460" t="str">
        <f t="shared" si="1"/>
        <v>Andres Veski</v>
      </c>
      <c r="AG15" s="459">
        <f>IFERROR(INDEX(V!$R:$R,MATCH(AH15,V!$L:$L,0)),"")</f>
        <v>120</v>
      </c>
      <c r="AH15" s="460" t="str">
        <f t="shared" si="2"/>
        <v>Svetlana Veski</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526</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120</v>
      </c>
      <c r="AE16" s="459">
        <f>IFERROR(INDEX(V!$R:$R,MATCH(AF16,V!$L:$L,0)),"")</f>
        <v>52</v>
      </c>
      <c r="AF16" s="460" t="str">
        <f t="shared" si="1"/>
        <v>Illar Tõnurist</v>
      </c>
      <c r="AG16" s="459">
        <f>IFERROR(INDEX(V!$R:$R,MATCH(AH16,V!$L:$L,0)),"")</f>
        <v>68</v>
      </c>
      <c r="AH16" s="460" t="str">
        <f t="shared" si="2"/>
        <v>Tarmo Bombe</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258</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ref="W17:W19" si="11">IF(C17&gt;E17,J$3,IF(C17&lt;E17,J$5,IF(ISNUMBER(C17),J$4,0)))+IF(G17&gt;I17,J$3,IF(G17&lt;I17,J$5,IF(ISNUMBER(G17),J$4,0)))+IF(K17&gt;M17,J$3,IF(K17&lt;M17,J$5,IF(ISNUMBER(K17),J$4,0)))+IF(O17&gt;Q17,J$3,IF(O17&lt;Q17,J$5,IF(ISNUMBER(O17),J$4,0)))+IF(S17&gt;U17,J$3,IF(S17&lt;U17,J$5,IF(ISNUMBER(S17),J$4,0)))</f>
        <v>0</v>
      </c>
      <c r="X17" s="442"/>
      <c r="Y17" s="437">
        <f t="shared" ref="Y17:Y19" si="12">C17+G17+K17+O17+S17</f>
        <v>0</v>
      </c>
      <c r="Z17" s="438" t="s">
        <v>246</v>
      </c>
      <c r="AA17" s="443">
        <f t="shared" ref="AA17:AA19" si="13">E17+I17+M17+Q17+U17</f>
        <v>0</v>
      </c>
      <c r="AB17" s="444">
        <f t="shared" ref="AB17:AB19" si="14">Y17-AA17</f>
        <v>0</v>
      </c>
      <c r="AC17" s="445"/>
      <c r="AD17" s="458">
        <f t="shared" ref="AD17:AD19" si="15">SUM(AE17:AP17)</f>
        <v>271</v>
      </c>
      <c r="AE17" s="459">
        <f>IFERROR(INDEX(V!$R:$R,MATCH(AF17,V!$L:$L,0)),"")</f>
        <v>132</v>
      </c>
      <c r="AF17" s="460" t="str">
        <f t="shared" si="1"/>
        <v>Henri Mitt</v>
      </c>
      <c r="AG17" s="459">
        <f>IFERROR(INDEX(V!$R:$R,MATCH(AH17,V!$L:$L,0)),"")</f>
        <v>139</v>
      </c>
      <c r="AH17" s="460" t="str">
        <f t="shared" si="2"/>
        <v>Urmas Randlaine</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x14ac:dyDescent="0.2">
      <c r="A18" s="435">
        <v>11</v>
      </c>
      <c r="B18" s="436" t="s">
        <v>524</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11"/>
        <v>0</v>
      </c>
      <c r="X18" s="442"/>
      <c r="Y18" s="437">
        <f t="shared" si="12"/>
        <v>0</v>
      </c>
      <c r="Z18" s="438" t="s">
        <v>246</v>
      </c>
      <c r="AA18" s="443">
        <f t="shared" si="13"/>
        <v>0</v>
      </c>
      <c r="AB18" s="444">
        <f t="shared" si="14"/>
        <v>0</v>
      </c>
      <c r="AC18" s="445"/>
      <c r="AD18" s="458">
        <f t="shared" si="15"/>
        <v>191</v>
      </c>
      <c r="AE18" s="459">
        <f>IFERROR(INDEX(V!$R:$R,MATCH(AF18,V!$L:$L,0)),"")</f>
        <v>129</v>
      </c>
      <c r="AF18" s="460" t="str">
        <f t="shared" si="1"/>
        <v>Jaan Saar</v>
      </c>
      <c r="AG18" s="459">
        <f>IFERROR(INDEX(V!$R:$R,MATCH(AH18,V!$L:$L,0)),"")</f>
        <v>62</v>
      </c>
      <c r="AH18" s="460" t="str">
        <f t="shared" si="2"/>
        <v>Sirje Maala</v>
      </c>
      <c r="AI18" s="459" t="str">
        <f>IFERROR(INDEX(V!$R:$R,MATCH(AJ18,V!$L:$L,0)),"")</f>
        <v/>
      </c>
      <c r="AJ18" s="460" t="str">
        <f t="shared" si="3"/>
        <v/>
      </c>
      <c r="AK18" s="459" t="str">
        <f>IFERROR(INDEX(V!$R:$R,MATCH(AL18,V!$L:$L,0)),"")</f>
        <v/>
      </c>
      <c r="AL18" s="460" t="str">
        <f t="shared" si="4"/>
        <v/>
      </c>
      <c r="AM18" s="459" t="str">
        <f>IFERROR(INDEX(V!$R:$R,MATCH(AN18,V!$L:$L,0)),"")</f>
        <v/>
      </c>
      <c r="AN18" s="460" t="str">
        <f t="shared" si="5"/>
        <v/>
      </c>
      <c r="AO18" s="459" t="str">
        <f>IFERROR(INDEX(V!$R:$R,MATCH(AP18,V!$L:$L,0)),"")</f>
        <v/>
      </c>
      <c r="AP18" s="460" t="str">
        <f t="shared" si="6"/>
        <v/>
      </c>
    </row>
    <row r="19" spans="1:42" x14ac:dyDescent="0.2">
      <c r="A19" s="435">
        <v>12</v>
      </c>
      <c r="B19" s="436" t="s">
        <v>527</v>
      </c>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11"/>
        <v>0</v>
      </c>
      <c r="X19" s="442"/>
      <c r="Y19" s="437">
        <f t="shared" si="12"/>
        <v>0</v>
      </c>
      <c r="Z19" s="438" t="s">
        <v>246</v>
      </c>
      <c r="AA19" s="443">
        <f t="shared" si="13"/>
        <v>0</v>
      </c>
      <c r="AB19" s="444">
        <f t="shared" si="14"/>
        <v>0</v>
      </c>
      <c r="AC19" s="445"/>
      <c r="AD19" s="458">
        <f t="shared" si="15"/>
        <v>164</v>
      </c>
      <c r="AE19" s="459">
        <f>IFERROR(INDEX(V!$R:$R,MATCH(AF19,V!$L:$L,0)),"")</f>
        <v>25</v>
      </c>
      <c r="AF19" s="460" t="str">
        <f t="shared" si="1"/>
        <v>Aleksander Korikov</v>
      </c>
      <c r="AG19" s="459">
        <f>IFERROR(INDEX(V!$R:$R,MATCH(AH19,V!$L:$L,0)),"")</f>
        <v>139</v>
      </c>
      <c r="AH19" s="460" t="str">
        <f t="shared" si="2"/>
        <v>Kaspar Mänd</v>
      </c>
      <c r="AI19" s="459" t="str">
        <f>IFERROR(INDEX(V!$R:$R,MATCH(AJ19,V!$L:$L,0)),"")</f>
        <v/>
      </c>
      <c r="AJ19" s="460" t="str">
        <f t="shared" si="3"/>
        <v/>
      </c>
      <c r="AK19" s="459" t="str">
        <f>IFERROR(INDEX(V!$R:$R,MATCH(AL19,V!$L:$L,0)),"")</f>
        <v/>
      </c>
      <c r="AL19" s="460" t="str">
        <f t="shared" si="4"/>
        <v/>
      </c>
      <c r="AM19" s="459" t="str">
        <f>IFERROR(INDEX(V!$R:$R,MATCH(AN19,V!$L:$L,0)),"")</f>
        <v/>
      </c>
      <c r="AN19" s="460" t="str">
        <f t="shared" si="5"/>
        <v/>
      </c>
      <c r="AO19" s="459" t="str">
        <f>IFERROR(INDEX(V!$R:$R,MATCH(AP19,V!$L:$L,0)),"")</f>
        <v/>
      </c>
      <c r="AP19" s="460" t="str">
        <f t="shared" si="6"/>
        <v/>
      </c>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7"/>
      <c r="M133" s="407"/>
      <c r="N133" s="407"/>
      <c r="O133" s="403"/>
      <c r="P133" s="403"/>
      <c r="Q133" s="403"/>
      <c r="R133" s="403"/>
      <c r="S133" s="403"/>
      <c r="T133" s="407"/>
      <c r="U133" s="407"/>
      <c r="V133" s="407"/>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7"/>
      <c r="M134" s="407"/>
      <c r="N134" s="407"/>
      <c r="O134" s="403"/>
      <c r="P134" s="403"/>
      <c r="Q134" s="403"/>
      <c r="R134" s="403"/>
      <c r="S134" s="403"/>
      <c r="T134" s="407"/>
      <c r="U134" s="407"/>
      <c r="V134" s="407"/>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7"/>
      <c r="M162" s="407"/>
      <c r="N162" s="407"/>
      <c r="O162" s="403"/>
      <c r="P162" s="403"/>
      <c r="Q162" s="403"/>
      <c r="R162" s="403"/>
      <c r="S162" s="403"/>
      <c r="T162" s="407"/>
      <c r="U162" s="407"/>
      <c r="V162" s="407"/>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7"/>
      <c r="M163" s="407"/>
      <c r="N163" s="407"/>
      <c r="O163" s="403"/>
      <c r="P163" s="403"/>
      <c r="Q163" s="403"/>
      <c r="R163" s="403"/>
      <c r="S163" s="403"/>
      <c r="T163" s="407"/>
      <c r="U163" s="407"/>
      <c r="V163" s="407"/>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D285" s="448"/>
      <c r="E285" s="448"/>
      <c r="F285" s="403"/>
      <c r="G285" s="403"/>
      <c r="H285" s="403"/>
      <c r="I285" s="403"/>
      <c r="J285" s="403"/>
      <c r="K285" s="403"/>
      <c r="L285" s="403"/>
      <c r="M285" s="403"/>
      <c r="N285" s="403"/>
      <c r="O285" s="403"/>
      <c r="P285" s="403"/>
      <c r="Q285" s="403"/>
      <c r="R285" s="403"/>
      <c r="S285" s="403"/>
      <c r="T285" s="403"/>
      <c r="U285" s="403"/>
      <c r="V285" s="403"/>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D286" s="452"/>
      <c r="E286" s="452"/>
      <c r="F286" s="403"/>
      <c r="G286" s="403"/>
      <c r="H286" s="403"/>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04"/>
      <c r="E287" s="404"/>
      <c r="F287" s="403"/>
      <c r="G287" s="403"/>
      <c r="H287" s="403"/>
      <c r="I287" s="403"/>
      <c r="J287" s="403"/>
      <c r="K287" s="403"/>
      <c r="L287" s="403"/>
      <c r="M287" s="403"/>
      <c r="N287" s="403"/>
      <c r="O287" s="403"/>
      <c r="P287" s="403"/>
      <c r="Q287" s="403"/>
      <c r="R287" s="403"/>
      <c r="S287" s="403"/>
      <c r="T287" s="403"/>
      <c r="U287" s="403"/>
      <c r="V287" s="403"/>
      <c r="W287" s="45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04"/>
      <c r="E288" s="404"/>
      <c r="F288" s="403"/>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5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row r="299" spans="1:39" x14ac:dyDescent="0.2">
      <c r="A299" s="403"/>
      <c r="B299" s="403"/>
      <c r="C299" s="447" t="s">
        <v>69</v>
      </c>
      <c r="F299" s="985" t="s">
        <v>84</v>
      </c>
    </row>
    <row r="300" spans="1:39" x14ac:dyDescent="0.2">
      <c r="A300" s="449">
        <v>1</v>
      </c>
      <c r="B300" s="450" t="str">
        <f t="shared" ref="B300:B304" si="16">IFERROR(INDEX(B$1:B$86,MATCH(A300,A$1:A$86,0)),"")</f>
        <v>Kenneth Muusikus, Marta Bernat</v>
      </c>
      <c r="C300" s="451">
        <f t="shared" ref="C300:C304" si="17">IF(21-A300&gt;0,IF(OR(A300=A301,A299=A300),21-A300-0.5,21-A300),1)</f>
        <v>20</v>
      </c>
      <c r="F300" s="985">
        <v>4</v>
      </c>
    </row>
    <row r="301" spans="1:39" x14ac:dyDescent="0.2">
      <c r="A301" s="449">
        <v>2</v>
      </c>
      <c r="B301" s="450" t="str">
        <f t="shared" si="16"/>
        <v>Oliver Ojasalu, Tõnis Neiland</v>
      </c>
      <c r="C301" s="451">
        <f t="shared" si="17"/>
        <v>19</v>
      </c>
      <c r="F301" s="985">
        <v>3</v>
      </c>
    </row>
    <row r="302" spans="1:39" x14ac:dyDescent="0.2">
      <c r="A302" s="449">
        <v>3</v>
      </c>
      <c r="B302" s="450" t="str">
        <f t="shared" si="16"/>
        <v>Oksana Rõndenkova, Oleg Rõndenkov</v>
      </c>
      <c r="C302" s="451">
        <f t="shared" si="17"/>
        <v>18</v>
      </c>
      <c r="F302" s="985">
        <v>3</v>
      </c>
    </row>
    <row r="303" spans="1:39" x14ac:dyDescent="0.2">
      <c r="A303" s="449">
        <v>4</v>
      </c>
      <c r="B303" s="450" t="str">
        <f t="shared" si="16"/>
        <v>Lemmit Toomra, Tõnu Kapper</v>
      </c>
      <c r="C303" s="451">
        <f t="shared" si="17"/>
        <v>17</v>
      </c>
      <c r="F303" s="985">
        <v>2</v>
      </c>
    </row>
    <row r="304" spans="1:39" x14ac:dyDescent="0.2">
      <c r="A304" s="449">
        <v>5</v>
      </c>
      <c r="B304" s="450" t="str">
        <f t="shared" si="16"/>
        <v>Meelis Luud, Sander Rose</v>
      </c>
      <c r="C304" s="451">
        <f t="shared" si="17"/>
        <v>16</v>
      </c>
      <c r="F304" s="985">
        <v>2</v>
      </c>
    </row>
    <row r="305" spans="1:6" x14ac:dyDescent="0.2">
      <c r="A305" s="449">
        <v>6</v>
      </c>
      <c r="B305" s="450" t="str">
        <f t="shared" ref="B305:B311" si="18">IFERROR(INDEX(B$1:B$86,MATCH(A305,A$1:A$86,0)),"")</f>
        <v>Boriss Klubov, Elmo Lageda</v>
      </c>
      <c r="C305" s="451">
        <f t="shared" ref="C305:C311" si="19">IF(21-A305&gt;0,IF(OR(A305=A306,A304=A305),21-A305-0.5,21-A305),1)</f>
        <v>15</v>
      </c>
      <c r="F305" s="985">
        <v>2</v>
      </c>
    </row>
    <row r="306" spans="1:6" x14ac:dyDescent="0.2">
      <c r="A306" s="449">
        <v>7</v>
      </c>
      <c r="B306" s="450" t="str">
        <f t="shared" si="18"/>
        <v>Ljudmila Varendi, Viktor Švarõgin</v>
      </c>
      <c r="C306" s="451">
        <f t="shared" si="19"/>
        <v>14</v>
      </c>
      <c r="F306" s="985">
        <v>2</v>
      </c>
    </row>
    <row r="307" spans="1:6" x14ac:dyDescent="0.2">
      <c r="A307" s="449">
        <v>8</v>
      </c>
      <c r="B307" s="450" t="str">
        <f t="shared" si="18"/>
        <v>Andres Veski, Svetlana Veski</v>
      </c>
      <c r="C307" s="451">
        <f t="shared" si="19"/>
        <v>13</v>
      </c>
      <c r="F307" s="985">
        <v>2</v>
      </c>
    </row>
    <row r="308" spans="1:6" x14ac:dyDescent="0.2">
      <c r="A308" s="449">
        <v>9</v>
      </c>
      <c r="B308" s="450" t="str">
        <f t="shared" si="18"/>
        <v>Illar Tõnurist, Tarmo Bombe</v>
      </c>
      <c r="C308" s="451">
        <f t="shared" si="19"/>
        <v>12</v>
      </c>
      <c r="F308" s="985">
        <v>2</v>
      </c>
    </row>
    <row r="309" spans="1:6" x14ac:dyDescent="0.2">
      <c r="A309" s="449">
        <v>10</v>
      </c>
      <c r="B309" s="450" t="str">
        <f t="shared" si="18"/>
        <v>Henri Mitt, Urmas Randlaine</v>
      </c>
      <c r="C309" s="451">
        <f t="shared" si="19"/>
        <v>11</v>
      </c>
      <c r="F309" s="985">
        <v>1</v>
      </c>
    </row>
    <row r="310" spans="1:6" x14ac:dyDescent="0.2">
      <c r="A310" s="449">
        <v>11</v>
      </c>
      <c r="B310" s="450" t="str">
        <f t="shared" si="18"/>
        <v>Jaan Saar, Sirje Maala</v>
      </c>
      <c r="C310" s="451">
        <f t="shared" si="19"/>
        <v>10</v>
      </c>
      <c r="F310" s="985">
        <v>1</v>
      </c>
    </row>
    <row r="311" spans="1:6" x14ac:dyDescent="0.2">
      <c r="A311" s="449">
        <v>12</v>
      </c>
      <c r="B311" s="450" t="str">
        <f t="shared" si="18"/>
        <v>Aleksander Korikov, Kaspar Mänd</v>
      </c>
      <c r="C311" s="451">
        <f t="shared" si="19"/>
        <v>9</v>
      </c>
      <c r="F311" s="985">
        <v>0</v>
      </c>
    </row>
  </sheetData>
  <conditionalFormatting sqref="C8:C19">
    <cfRule type="expression" dxfId="925" priority="40">
      <formula>IF($C8&gt;$E8,TRUE)</formula>
    </cfRule>
  </conditionalFormatting>
  <conditionalFormatting sqref="E8:E19">
    <cfRule type="expression" dxfId="924" priority="41">
      <formula>IF($C8&lt;$E8,TRUE)</formula>
    </cfRule>
  </conditionalFormatting>
  <conditionalFormatting sqref="K8:K19">
    <cfRule type="expression" dxfId="923" priority="48">
      <formula>IF($K8&gt;$M8,TRUE)</formula>
    </cfRule>
  </conditionalFormatting>
  <conditionalFormatting sqref="M8:M19">
    <cfRule type="expression" dxfId="922" priority="49">
      <formula>IF($K8&lt;$M8,TRUE)</formula>
    </cfRule>
  </conditionalFormatting>
  <conditionalFormatting sqref="O8:O19">
    <cfRule type="expression" dxfId="921" priority="52">
      <formula>IF($O8&gt;$Q8,TRUE)</formula>
    </cfRule>
  </conditionalFormatting>
  <conditionalFormatting sqref="Q8:Q19">
    <cfRule type="expression" dxfId="920" priority="53">
      <formula>IF($O8&lt;$Q8,TRUE)</formula>
    </cfRule>
  </conditionalFormatting>
  <conditionalFormatting sqref="S8:S19">
    <cfRule type="expression" dxfId="919" priority="56">
      <formula>IF($S8&gt;$U8,TRUE)</formula>
    </cfRule>
  </conditionalFormatting>
  <conditionalFormatting sqref="U8:U19">
    <cfRule type="expression" dxfId="918" priority="57">
      <formula>IF($S8&lt;$U8,TRUE)</formula>
    </cfRule>
  </conditionalFormatting>
  <conditionalFormatting sqref="G8:G19">
    <cfRule type="expression" dxfId="917" priority="44">
      <formula>IF($G8&gt;$I8,TRUE)</formula>
    </cfRule>
  </conditionalFormatting>
  <conditionalFormatting sqref="I8:I19">
    <cfRule type="expression" dxfId="916" priority="45">
      <formula>IF($G8&lt;$I8,TRUE)</formula>
    </cfRule>
  </conditionalFormatting>
  <conditionalFormatting sqref="F8:F19">
    <cfRule type="containsText" dxfId="915" priority="31" operator="containsText" text="vaba voor">
      <formula>NOT(ISERROR(SEARCH("vaba voor",F8)))</formula>
    </cfRule>
  </conditionalFormatting>
  <conditionalFormatting sqref="N8:N19">
    <cfRule type="containsText" dxfId="914" priority="29" operator="containsText" text="vaba voor">
      <formula>NOT(ISERROR(SEARCH("vaba voor",N8)))</formula>
    </cfRule>
  </conditionalFormatting>
  <conditionalFormatting sqref="R8:R19">
    <cfRule type="containsText" dxfId="913" priority="32" operator="containsText" text="vaba voor">
      <formula>NOT(ISERROR(SEARCH("vaba voor",R8)))</formula>
    </cfRule>
  </conditionalFormatting>
  <conditionalFormatting sqref="V8:V19">
    <cfRule type="containsText" dxfId="912" priority="28" operator="containsText" text="vaba voor">
      <formula>NOT(ISERROR(SEARCH("vaba voor",V8)))</formula>
    </cfRule>
  </conditionalFormatting>
  <conditionalFormatting sqref="J8:J19">
    <cfRule type="containsText" dxfId="911" priority="30" operator="containsText" text="vaba voor">
      <formula>NOT(ISERROR(SEARCH("vaba voor",J8)))</formula>
    </cfRule>
  </conditionalFormatting>
  <conditionalFormatting sqref="C8:F19">
    <cfRule type="expression" dxfId="910" priority="36">
      <formula>IF(AND(ISNUMBER($C8),$C8=$E8),TRUE)</formula>
    </cfRule>
    <cfRule type="expression" dxfId="909" priority="38">
      <formula>IF($C8&gt;$E8,TRUE)</formula>
    </cfRule>
    <cfRule type="expression" dxfId="908" priority="39">
      <formula>IF($C8&lt;$E8,TRUE)</formula>
    </cfRule>
  </conditionalFormatting>
  <conditionalFormatting sqref="G8:J19">
    <cfRule type="expression" dxfId="907" priority="37">
      <formula>IF(AND(ISNUMBER($G8),$G8=$I8),TRUE)</formula>
    </cfRule>
    <cfRule type="expression" dxfId="906" priority="42">
      <formula>IF($G8&gt;$I8,TRUE)</formula>
    </cfRule>
    <cfRule type="expression" dxfId="905" priority="43">
      <formula>IF($G8&lt;$I8,TRUE)</formula>
    </cfRule>
  </conditionalFormatting>
  <conditionalFormatting sqref="K8:N19">
    <cfRule type="expression" dxfId="904" priority="35">
      <formula>IF(AND(ISNUMBER($K8),$K8=$M8),TRUE)</formula>
    </cfRule>
    <cfRule type="expression" dxfId="903" priority="46">
      <formula>IF($K8&gt;$M8,TRUE)</formula>
    </cfRule>
    <cfRule type="expression" dxfId="902" priority="47">
      <formula>IF($K8&lt;$M8,TRUE)</formula>
    </cfRule>
  </conditionalFormatting>
  <conditionalFormatting sqref="O8:R19">
    <cfRule type="expression" dxfId="901" priority="34">
      <formula>IF(AND(ISNUMBER($O8),$O8=$Q8),TRUE)</formula>
    </cfRule>
    <cfRule type="expression" dxfId="900" priority="50">
      <formula>IF($O8&gt;$Q8,TRUE)</formula>
    </cfRule>
    <cfRule type="expression" dxfId="899" priority="51">
      <formula>IF($O8&lt;$Q8,TRUE)</formula>
    </cfRule>
  </conditionalFormatting>
  <conditionalFormatting sqref="S8:V19">
    <cfRule type="expression" dxfId="898" priority="33">
      <formula>IF(AND(ISNUMBER($S8),$S8=$U8),TRUE)</formula>
    </cfRule>
    <cfRule type="expression" dxfId="897" priority="54">
      <formula>IF($S8&gt;$U8,TRUE)</formula>
    </cfRule>
    <cfRule type="expression" dxfId="896" priority="55">
      <formula>IF($S8&lt;$U8,TRUE)</formula>
    </cfRule>
  </conditionalFormatting>
  <conditionalFormatting sqref="C8:C19 G8:G19 K8:K19 O8:O19 S8:S19">
    <cfRule type="expression" dxfId="895" priority="26">
      <formula>AND(C8=0,E8=13)</formula>
    </cfRule>
  </conditionalFormatting>
  <conditionalFormatting sqref="E8:E19 I8:I19 M8:M19 Q8:Q19 U8:U19">
    <cfRule type="expression" dxfId="894" priority="27">
      <formula>AND(E8=0,C8=13)</formula>
    </cfRule>
  </conditionalFormatting>
  <conditionalFormatting sqref="A300:A311">
    <cfRule type="duplicateValues" dxfId="893" priority="134"/>
  </conditionalFormatting>
  <conditionalFormatting sqref="A8:A19">
    <cfRule type="duplicateValues" dxfId="892" priority="147"/>
  </conditionalFormatting>
  <conditionalFormatting sqref="B300:B311">
    <cfRule type="expression" dxfId="891" priority="161">
      <formula>A300=3</formula>
    </cfRule>
    <cfRule type="expression" dxfId="890" priority="162">
      <formula>A300=2</formula>
    </cfRule>
    <cfRule type="expression" dxfId="889" priority="163">
      <formula>A300=1</formula>
    </cfRule>
    <cfRule type="containsBlanks" dxfId="888" priority="164">
      <formula>LEN(TRIM(B300))=0</formula>
    </cfRule>
    <cfRule type="duplicateValues" dxfId="887" priority="165"/>
  </conditionalFormatting>
  <conditionalFormatting sqref="AJ6:AJ19">
    <cfRule type="expression" dxfId="886" priority="5">
      <formula>AND(AI6="",FIND(",",AJ6))</formula>
    </cfRule>
    <cfRule type="expression" dxfId="885" priority="7">
      <formula>AND(AI6="",COUNTIF(AJ6,"*,*")=0)</formula>
    </cfRule>
  </conditionalFormatting>
  <conditionalFormatting sqref="AH6:AH19">
    <cfRule type="expression" dxfId="884" priority="8">
      <formula>AND(AG6="",FIND(",",AH6))</formula>
    </cfRule>
    <cfRule type="expression" dxfId="883" priority="9">
      <formula>AND(AG6="",COUNTIF(AH6,"*,*")=0)</formula>
    </cfRule>
  </conditionalFormatting>
  <conditionalFormatting sqref="AL6:AL19">
    <cfRule type="expression" dxfId="882" priority="10">
      <formula>AND(AK6="",FIND(",",AL6))</formula>
    </cfRule>
    <cfRule type="expression" dxfId="881" priority="11">
      <formula>AND(AK6="",COUNTIF(AL6,"*,*")=0)</formula>
    </cfRule>
  </conditionalFormatting>
  <conditionalFormatting sqref="AF6:AF19">
    <cfRule type="expression" dxfId="880" priority="6">
      <formula>AND(AE6="",COUNTIF(AF6,"*,*")=0)</formula>
    </cfRule>
  </conditionalFormatting>
  <conditionalFormatting sqref="AN6:AN19">
    <cfRule type="expression" dxfId="879" priority="2">
      <formula>AND(AM6="",COUNTIF(AN6,"*,*")=0)</formula>
    </cfRule>
    <cfRule type="expression" dxfId="878" priority="4">
      <formula>AND(AM6="",FIND(",",AN6))</formula>
    </cfRule>
  </conditionalFormatting>
  <conditionalFormatting sqref="AP6:AP19">
    <cfRule type="expression" dxfId="877" priority="1">
      <formula>AND(AO6="",COUNTIF(AP6,"*,*")=0)</formula>
    </cfRule>
    <cfRule type="expression" dxfId="87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P310"/>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1.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15.28515625" hidden="1" customWidth="1"/>
    <col min="35" max="35" width="9.140625" hidden="1" customWidth="1"/>
    <col min="36" max="36" width="17.28515625" hidden="1" customWidth="1"/>
    <col min="37" max="37" width="9.140625"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UPPER((Kalend!E36)&amp;" - "&amp;(Kalend!C36)&amp;" - "&amp;(Kalend!D36))</f>
        <v>V10 - VOKA VIII KV 10. ETAPP - DUO</v>
      </c>
      <c r="B1" s="403"/>
      <c r="C1" s="406"/>
      <c r="D1" s="406"/>
      <c r="E1" s="406"/>
      <c r="F1" s="406"/>
      <c r="G1" s="406"/>
      <c r="H1" s="406"/>
      <c r="I1" s="406"/>
      <c r="J1" s="406"/>
      <c r="K1" s="406"/>
      <c r="L1" s="406"/>
      <c r="M1" s="407"/>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"&amp;(Kalend!A36)&amp;" kell "&amp;(Kalend!B36)</f>
        <v>Toimumisaeg: K, 25.08.2021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9"/>
      <c r="AE2" s="409"/>
      <c r="AF2" s="409"/>
      <c r="AG2" s="409"/>
      <c r="AH2" s="409"/>
      <c r="AI2" s="585"/>
      <c r="AJ2" s="409"/>
      <c r="AK2" s="409"/>
      <c r="AL2" s="409"/>
      <c r="AM2" s="409"/>
      <c r="AN2" s="409"/>
    </row>
    <row r="3" spans="1:42" x14ac:dyDescent="0.2">
      <c r="A3" s="409" t="str">
        <f>"Toimumiskoht: "&amp;(Kalend!F36)</f>
        <v>Toimumiskoht: Voka staadion</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"&amp;(Kalend!G36)</f>
        <v>Korraldaja: Johannes Neiland</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8" si="0">SUM(AE7:AP7)</f>
        <v>0</v>
      </c>
      <c r="AE7" s="459" t="str">
        <f>IFERROR(INDEX(V!$R:$R,MATCH(AF7,V!$L:$L,0)),"")</f>
        <v/>
      </c>
      <c r="AF7" s="460" t="str">
        <f t="shared" ref="AF7:AF18" si="1">IFERROR(LEFT($B7,(FIND(",",$B7,1)-1)),"")</f>
        <v/>
      </c>
      <c r="AG7" s="459" t="str">
        <f>IFERROR(INDEX(V!$R:$R,MATCH(AH7,V!$L:$L,0)),"")</f>
        <v/>
      </c>
      <c r="AH7" s="460" t="str">
        <f t="shared" ref="AH7:AH18" si="2">IFERROR(MID($B7,FIND(", ",$B7)+2,256),"")</f>
        <v/>
      </c>
      <c r="AI7" s="459" t="str">
        <f>IFERROR(INDEX(V!$R:$R,MATCH(AJ7,V!$L:$L,0)),"")</f>
        <v/>
      </c>
      <c r="AJ7" s="460" t="str">
        <f t="shared" ref="AJ7:AJ18" si="3">IFERROR(MID($B7,FIND("^",SUBSTITUTE($B7,", ","^",1))+2,FIND("^",SUBSTITUTE($B7,", ","^",2))-FIND("^",SUBSTITUTE($B7,", ","^",1))-2),"")</f>
        <v/>
      </c>
      <c r="AK7" s="459" t="str">
        <f>IFERROR(INDEX(V!$R:$R,MATCH(AL7,V!$L:$L,0)),"")</f>
        <v/>
      </c>
      <c r="AL7" s="460" t="str">
        <f t="shared" ref="AL7:AL18" si="4">IFERROR(MID($B7,FIND(", ",$B7,FIND(", ",$B7,FIND(", ",$B7))+1)+2,30000),"")</f>
        <v/>
      </c>
      <c r="AM7" s="459" t="str">
        <f>IFERROR(INDEX(V!$R:$R,MATCH(AN7,V!$L:$L,0)),"")</f>
        <v/>
      </c>
      <c r="AN7" s="460" t="str">
        <f t="shared" ref="AN7:AN18" si="5">IFERROR(MID($B7,FIND(", ",$B7,FIND(", ",$B7)+1)+2,FIND(", ",$B7,FIND(", ",$B7,FIND(", ",$B7)+1)+1)-FIND(", ",$B7,FIND(", ",$B7)+1)-2),"")</f>
        <v/>
      </c>
      <c r="AO7" s="459" t="str">
        <f>IFERROR(INDEX(V!$R:$R,MATCH(AP7,V!$L:$L,0)),"")</f>
        <v/>
      </c>
      <c r="AP7" s="460" t="str">
        <f t="shared" ref="AP7:AP18" si="6">IFERROR(MID($B7,FIND(", ",$B7,FIND(", ",$B7,FIND(", ",$B7)+1)+1)+2,30000),"")</f>
        <v/>
      </c>
    </row>
    <row r="8" spans="1:42" x14ac:dyDescent="0.2">
      <c r="A8" s="435">
        <v>1</v>
      </c>
      <c r="B8" s="436" t="s">
        <v>261</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si="0"/>
        <v>227</v>
      </c>
      <c r="AE8" s="459">
        <f>IFERROR(INDEX(V!$R:$R,MATCH(AF8,V!$L:$L,0)),"")</f>
        <v>160</v>
      </c>
      <c r="AF8" s="460" t="str">
        <f t="shared" si="1"/>
        <v>Kenneth Muusikus</v>
      </c>
      <c r="AG8" s="459">
        <f>IFERROR(INDEX(V!$R:$R,MATCH(AH8,V!$L:$L,0)),"")</f>
        <v>67</v>
      </c>
      <c r="AH8" s="460" t="str">
        <f t="shared" si="2"/>
        <v>Urmas Jõeäär</v>
      </c>
      <c r="AI8" s="459" t="str">
        <f>IFERROR(INDEX(V!$R:$R,MATCH(AJ8,V!$L:$L,0)),"")</f>
        <v/>
      </c>
      <c r="AJ8" s="460" t="str">
        <f t="shared" si="3"/>
        <v/>
      </c>
      <c r="AK8" s="459" t="str">
        <f>IFERROR(INDEX(V!$R:$R,MATCH(AL8,V!$L:$L,0)),"")</f>
        <v/>
      </c>
      <c r="AL8" s="460" t="str">
        <f t="shared" si="4"/>
        <v/>
      </c>
      <c r="AM8" s="459" t="str">
        <f>IFERROR(INDEX(V!$R:$R,MATCH(AN8,V!$L:$L,0)),"")</f>
        <v/>
      </c>
      <c r="AN8" s="460" t="str">
        <f t="shared" si="5"/>
        <v/>
      </c>
      <c r="AO8" s="459" t="str">
        <f>IFERROR(INDEX(V!$R:$R,MATCH(AP8,V!$L:$L,0)),"")</f>
        <v/>
      </c>
      <c r="AP8" s="460" t="str">
        <f t="shared" si="6"/>
        <v/>
      </c>
    </row>
    <row r="9" spans="1:42" x14ac:dyDescent="0.2">
      <c r="A9" s="435">
        <v>2</v>
      </c>
      <c r="B9" s="436" t="s">
        <v>258</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8" si="7">IF(C9&gt;E9,J$3,IF(C9&lt;E9,J$5,IF(ISNUMBER(C9),J$4,0)))+IF(G9&gt;I9,J$3,IF(G9&lt;I9,J$5,IF(ISNUMBER(G9),J$4,0)))+IF(K9&gt;M9,J$3,IF(K9&lt;M9,J$5,IF(ISNUMBER(K9),J$4,0)))+IF(O9&gt;Q9,J$3,IF(O9&lt;Q9,J$5,IF(ISNUMBER(O9),J$4,0)))+IF(S9&gt;U9,J$3,IF(S9&lt;U9,J$5,IF(ISNUMBER(S9),J$4,0)))</f>
        <v>0</v>
      </c>
      <c r="X9" s="442"/>
      <c r="Y9" s="437">
        <f t="shared" ref="Y9:Y18" si="8">C9+G9+K9+O9+S9</f>
        <v>0</v>
      </c>
      <c r="Z9" s="438" t="s">
        <v>246</v>
      </c>
      <c r="AA9" s="443">
        <f t="shared" ref="AA9:AA18" si="9">E9+I9+M9+Q9+U9</f>
        <v>0</v>
      </c>
      <c r="AB9" s="444">
        <f t="shared" ref="AB9:AB18" si="10">Y9-AA9</f>
        <v>0</v>
      </c>
      <c r="AC9" s="445"/>
      <c r="AD9" s="458">
        <f t="shared" si="0"/>
        <v>271</v>
      </c>
      <c r="AE9" s="459">
        <f>IFERROR(INDEX(V!$R:$R,MATCH(AF9,V!$L:$L,0)),"")</f>
        <v>132</v>
      </c>
      <c r="AF9" s="460" t="str">
        <f t="shared" si="1"/>
        <v>Henri Mitt</v>
      </c>
      <c r="AG9" s="459">
        <f>IFERROR(INDEX(V!$R:$R,MATCH(AH9,V!$L:$L,0)),"")</f>
        <v>139</v>
      </c>
      <c r="AH9" s="460" t="str">
        <f t="shared" si="2"/>
        <v>Urmas Randlaine</v>
      </c>
      <c r="AI9" s="459" t="str">
        <f>IFERROR(INDEX(V!$R:$R,MATCH(AJ9,V!$L:$L,0)),"")</f>
        <v/>
      </c>
      <c r="AJ9" s="460" t="str">
        <f t="shared" si="3"/>
        <v/>
      </c>
      <c r="AK9" s="459" t="str">
        <f>IFERROR(INDEX(V!$R:$R,MATCH(AL9,V!$L:$L,0)),"")</f>
        <v/>
      </c>
      <c r="AL9" s="460" t="str">
        <f t="shared" si="4"/>
        <v/>
      </c>
      <c r="AM9" s="459" t="str">
        <f>IFERROR(INDEX(V!$R:$R,MATCH(AN9,V!$L:$L,0)),"")</f>
        <v/>
      </c>
      <c r="AN9" s="460" t="str">
        <f t="shared" si="5"/>
        <v/>
      </c>
      <c r="AO9" s="459" t="str">
        <f>IFERROR(INDEX(V!$R:$R,MATCH(AP9,V!$L:$L,0)),"")</f>
        <v/>
      </c>
      <c r="AP9" s="460" t="str">
        <f t="shared" si="6"/>
        <v/>
      </c>
    </row>
    <row r="10" spans="1:42" x14ac:dyDescent="0.2">
      <c r="A10" s="435">
        <v>3</v>
      </c>
      <c r="B10" s="436" t="s">
        <v>489</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si="0"/>
        <v>186</v>
      </c>
      <c r="AE10" s="459">
        <f>IFERROR(INDEX(V!$R:$R,MATCH(AF10,V!$L:$L,0)),"")</f>
        <v>94</v>
      </c>
      <c r="AF10" s="460" t="str">
        <f t="shared" si="1"/>
        <v>Lemmit Toomra</v>
      </c>
      <c r="AG10" s="459">
        <f>IFERROR(INDEX(V!$R:$R,MATCH(AH10,V!$L:$L,0)),"")</f>
        <v>92</v>
      </c>
      <c r="AH10" s="460" t="str">
        <f t="shared" si="2"/>
        <v>Tõnu Kapper</v>
      </c>
      <c r="AI10" s="459" t="str">
        <f>IFERROR(INDEX(V!$R:$R,MATCH(AJ10,V!$L:$L,0)),"")</f>
        <v/>
      </c>
      <c r="AJ10" s="460" t="str">
        <f t="shared" si="3"/>
        <v/>
      </c>
      <c r="AK10" s="459" t="str">
        <f>IFERROR(INDEX(V!$R:$R,MATCH(AL10,V!$L:$L,0)),"")</f>
        <v/>
      </c>
      <c r="AL10" s="460" t="str">
        <f t="shared" si="4"/>
        <v/>
      </c>
      <c r="AM10" s="459" t="str">
        <f>IFERROR(INDEX(V!$R:$R,MATCH(AN10,V!$L:$L,0)),"")</f>
        <v/>
      </c>
      <c r="AN10" s="460" t="str">
        <f t="shared" si="5"/>
        <v/>
      </c>
      <c r="AO10" s="459" t="str">
        <f>IFERROR(INDEX(V!$R:$R,MATCH(AP10,V!$L:$L,0)),"")</f>
        <v/>
      </c>
      <c r="AP10" s="460" t="str">
        <f t="shared" si="6"/>
        <v/>
      </c>
    </row>
    <row r="11" spans="1:42" x14ac:dyDescent="0.2">
      <c r="A11" s="435">
        <v>4</v>
      </c>
      <c r="B11" s="436" t="s">
        <v>490</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si="0"/>
        <v>34</v>
      </c>
      <c r="AE11" s="459">
        <f>IFERROR(INDEX(V!$R:$R,MATCH(AF11,V!$L:$L,0)),"")</f>
        <v>17</v>
      </c>
      <c r="AF11" s="460" t="str">
        <f t="shared" si="1"/>
        <v>Aigi Orro</v>
      </c>
      <c r="AG11" s="459">
        <f>IFERROR(INDEX(V!$R:$R,MATCH(AH11,V!$L:$L,0)),"")</f>
        <v>17</v>
      </c>
      <c r="AH11" s="460" t="str">
        <f t="shared" si="2"/>
        <v>Kalle Orro</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x14ac:dyDescent="0.2">
      <c r="A12" s="435">
        <v>5</v>
      </c>
      <c r="B12" s="436" t="s">
        <v>491</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si="0"/>
        <v>242</v>
      </c>
      <c r="AE12" s="459">
        <f>IFERROR(INDEX(V!$R:$R,MATCH(AF12,V!$L:$L,0)),"")</f>
        <v>139</v>
      </c>
      <c r="AF12" s="460" t="str">
        <f t="shared" si="1"/>
        <v>Kaspar Mänd</v>
      </c>
      <c r="AG12" s="459">
        <f>IFERROR(INDEX(V!$R:$R,MATCH(AH12,V!$L:$L,0)),"")</f>
        <v>103</v>
      </c>
      <c r="AH12" s="460" t="str">
        <f t="shared" si="2"/>
        <v>Olav Türk</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x14ac:dyDescent="0.2">
      <c r="A13" s="435">
        <v>6</v>
      </c>
      <c r="B13" s="436" t="s">
        <v>255</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si="0"/>
        <v>259</v>
      </c>
      <c r="AE13" s="459">
        <f>IFERROR(INDEX(V!$R:$R,MATCH(AF13,V!$L:$L,0)),"")</f>
        <v>139</v>
      </c>
      <c r="AF13" s="460" t="str">
        <f t="shared" si="1"/>
        <v>Andres Veski</v>
      </c>
      <c r="AG13" s="459">
        <f>IFERROR(INDEX(V!$R:$R,MATCH(AH13,V!$L:$L,0)),"")</f>
        <v>120</v>
      </c>
      <c r="AH13" s="460" t="str">
        <f t="shared" si="2"/>
        <v>Svetlana Veski</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x14ac:dyDescent="0.2">
      <c r="A14" s="435">
        <v>7</v>
      </c>
      <c r="B14" s="446" t="s">
        <v>492</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si="0"/>
        <v>217</v>
      </c>
      <c r="AE14" s="459">
        <f>IFERROR(INDEX(V!$R:$R,MATCH(AF14,V!$L:$L,0)),"")</f>
        <v>114</v>
      </c>
      <c r="AF14" s="460" t="str">
        <f t="shared" si="1"/>
        <v>Oliver Ojasalu</v>
      </c>
      <c r="AG14" s="459">
        <f>IFERROR(INDEX(V!$R:$R,MATCH(AH14,V!$L:$L,0)),"")</f>
        <v>103</v>
      </c>
      <c r="AH14" s="460" t="str">
        <f t="shared" si="2"/>
        <v>Tõnis Neiland</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x14ac:dyDescent="0.2">
      <c r="A15" s="435">
        <v>8</v>
      </c>
      <c r="B15" s="446" t="s">
        <v>493</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si="0"/>
        <v>142</v>
      </c>
      <c r="AE15" s="459">
        <f>IFERROR(INDEX(V!$R:$R,MATCH(AF15,V!$L:$L,0)),"")</f>
        <v>80</v>
      </c>
      <c r="AF15" s="460" t="str">
        <f t="shared" si="1"/>
        <v>Johannes Neiland</v>
      </c>
      <c r="AG15" s="459">
        <f>IFERROR(INDEX(V!$R:$R,MATCH(AH15,V!$L:$L,0)),"")</f>
        <v>62</v>
      </c>
      <c r="AH15" s="460" t="str">
        <f t="shared" si="2"/>
        <v>Sirje Maala</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x14ac:dyDescent="0.2">
      <c r="A16" s="435">
        <v>9</v>
      </c>
      <c r="B16" s="436" t="s">
        <v>251</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si="0"/>
        <v>314</v>
      </c>
      <c r="AE16" s="459">
        <f>IFERROR(INDEX(V!$R:$R,MATCH(AF16,V!$L:$L,0)),"")</f>
        <v>159</v>
      </c>
      <c r="AF16" s="460" t="str">
        <f t="shared" si="1"/>
        <v>Meelis Luud</v>
      </c>
      <c r="AG16" s="459">
        <f>IFERROR(INDEX(V!$R:$R,MATCH(AH16,V!$L:$L,0)),"")</f>
        <v>155</v>
      </c>
      <c r="AH16" s="460" t="str">
        <f t="shared" si="2"/>
        <v>Sander Rose</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x14ac:dyDescent="0.2">
      <c r="A17" s="435">
        <v>10</v>
      </c>
      <c r="B17" s="436" t="s">
        <v>252</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si="0"/>
        <v>143</v>
      </c>
      <c r="AE17" s="459">
        <f>IFERROR(INDEX(V!$R:$R,MATCH(AF17,V!$L:$L,0)),"")</f>
        <v>75</v>
      </c>
      <c r="AF17" s="460" t="str">
        <f t="shared" si="1"/>
        <v>Enn Tokman</v>
      </c>
      <c r="AG17" s="459">
        <f>IFERROR(INDEX(V!$R:$R,MATCH(AH17,V!$L:$L,0)),"")</f>
        <v>68</v>
      </c>
      <c r="AH17" s="460" t="str">
        <f t="shared" si="2"/>
        <v>Tarmo Bombe</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x14ac:dyDescent="0.2">
      <c r="A18" s="435">
        <v>11</v>
      </c>
      <c r="B18" s="446" t="s">
        <v>249</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7"/>
        <v>0</v>
      </c>
      <c r="X18" s="442"/>
      <c r="Y18" s="437">
        <f t="shared" si="8"/>
        <v>0</v>
      </c>
      <c r="Z18" s="438" t="s">
        <v>246</v>
      </c>
      <c r="AA18" s="443">
        <f t="shared" si="9"/>
        <v>0</v>
      </c>
      <c r="AB18" s="444">
        <f t="shared" si="10"/>
        <v>0</v>
      </c>
      <c r="AC18" s="445"/>
      <c r="AD18" s="458">
        <f t="shared" si="0"/>
        <v>215</v>
      </c>
      <c r="AE18" s="459">
        <f>IFERROR(INDEX(V!$R:$R,MATCH(AF18,V!$L:$L,0)),"")</f>
        <v>98</v>
      </c>
      <c r="AF18" s="460" t="str">
        <f t="shared" si="1"/>
        <v>Andrei Grintšak</v>
      </c>
      <c r="AG18" s="459">
        <f>IFERROR(INDEX(V!$R:$R,MATCH(AH18,V!$L:$L,0)),"")</f>
        <v>117</v>
      </c>
      <c r="AH18" s="460" t="str">
        <f t="shared" si="2"/>
        <v>Oleg Rõndenkov</v>
      </c>
      <c r="AI18" s="459" t="str">
        <f>IFERROR(INDEX(V!$R:$R,MATCH(AJ18,V!$L:$L,0)),"")</f>
        <v/>
      </c>
      <c r="AJ18" s="460" t="str">
        <f t="shared" si="3"/>
        <v/>
      </c>
      <c r="AK18" s="459" t="str">
        <f>IFERROR(INDEX(V!$R:$R,MATCH(AL18,V!$L:$L,0)),"")</f>
        <v/>
      </c>
      <c r="AL18" s="460" t="str">
        <f t="shared" si="4"/>
        <v/>
      </c>
      <c r="AM18" s="459" t="str">
        <f>IFERROR(INDEX(V!$R:$R,MATCH(AN18,V!$L:$L,0)),"")</f>
        <v/>
      </c>
      <c r="AN18" s="460" t="str">
        <f t="shared" si="5"/>
        <v/>
      </c>
      <c r="AO18" s="459" t="str">
        <f>IFERROR(INDEX(V!$R:$R,MATCH(AP18,V!$L:$L,0)),"")</f>
        <v/>
      </c>
      <c r="AP18" s="460" t="str">
        <f t="shared" si="6"/>
        <v/>
      </c>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48"/>
      <c r="E287" s="448"/>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52"/>
      <c r="E288" s="452"/>
      <c r="F288" s="403"/>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5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5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row>
    <row r="297" spans="1:39" hidden="1" x14ac:dyDescent="0.2">
      <c r="D297" s="404"/>
      <c r="E297" s="404"/>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row>
    <row r="298" spans="1:39" x14ac:dyDescent="0.2">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row>
    <row r="299" spans="1:39" x14ac:dyDescent="0.2">
      <c r="A299" s="403"/>
      <c r="B299" s="403"/>
      <c r="C299" s="447" t="s">
        <v>69</v>
      </c>
      <c r="D299" s="403"/>
      <c r="E299" s="403"/>
      <c r="F299" s="985" t="s">
        <v>84</v>
      </c>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t="str">
        <f t="shared" ref="B300:B310" si="11">IFERROR(INDEX(B$1:B$88,MATCH(A300,A$1:A$88,0)),"")</f>
        <v>Kenneth Muusikus, Urmas Jõeäär</v>
      </c>
      <c r="C300" s="451">
        <f t="shared" ref="C300:C310" si="12">IF(21-A300&gt;0,IF(OR(A300=A301,A299=A300),21-A300-0.5,21-A300),1)</f>
        <v>20</v>
      </c>
      <c r="F300" s="985">
        <v>4</v>
      </c>
    </row>
    <row r="301" spans="1:39" x14ac:dyDescent="0.2">
      <c r="A301" s="449">
        <v>2</v>
      </c>
      <c r="B301" s="450" t="str">
        <f t="shared" si="11"/>
        <v>Henri Mitt, Urmas Randlaine</v>
      </c>
      <c r="C301" s="451">
        <f t="shared" si="12"/>
        <v>19</v>
      </c>
      <c r="F301" s="985">
        <v>3</v>
      </c>
    </row>
    <row r="302" spans="1:39" x14ac:dyDescent="0.2">
      <c r="A302" s="449">
        <v>3</v>
      </c>
      <c r="B302" s="450" t="str">
        <f t="shared" si="11"/>
        <v>Lemmit Toomra, Tõnu Kapper</v>
      </c>
      <c r="C302" s="451">
        <f t="shared" si="12"/>
        <v>18</v>
      </c>
      <c r="F302" s="985">
        <v>3</v>
      </c>
    </row>
    <row r="303" spans="1:39" x14ac:dyDescent="0.2">
      <c r="A303" s="449">
        <v>4</v>
      </c>
      <c r="B303" s="450" t="str">
        <f t="shared" si="11"/>
        <v>Aigi Orro, Kalle Orro</v>
      </c>
      <c r="C303" s="451">
        <f t="shared" si="12"/>
        <v>17</v>
      </c>
      <c r="F303" s="985">
        <v>3</v>
      </c>
    </row>
    <row r="304" spans="1:39" x14ac:dyDescent="0.2">
      <c r="A304" s="449">
        <v>5</v>
      </c>
      <c r="B304" s="450" t="str">
        <f t="shared" si="11"/>
        <v>Kaspar Mänd, Olav Türk</v>
      </c>
      <c r="C304" s="451">
        <f t="shared" si="12"/>
        <v>16</v>
      </c>
      <c r="F304" s="985">
        <v>2</v>
      </c>
    </row>
    <row r="305" spans="1:6" x14ac:dyDescent="0.2">
      <c r="A305" s="449">
        <v>6</v>
      </c>
      <c r="B305" s="450" t="str">
        <f t="shared" si="11"/>
        <v>Andres Veski, Svetlana Veski</v>
      </c>
      <c r="C305" s="451">
        <f t="shared" si="12"/>
        <v>15</v>
      </c>
      <c r="F305" s="985">
        <v>2</v>
      </c>
    </row>
    <row r="306" spans="1:6" x14ac:dyDescent="0.2">
      <c r="A306" s="449">
        <v>7</v>
      </c>
      <c r="B306" s="450" t="str">
        <f t="shared" si="11"/>
        <v>Oliver Ojasalu, Tõnis Neiland</v>
      </c>
      <c r="C306" s="451">
        <f t="shared" si="12"/>
        <v>14</v>
      </c>
      <c r="F306" s="985">
        <v>2</v>
      </c>
    </row>
    <row r="307" spans="1:6" x14ac:dyDescent="0.2">
      <c r="A307" s="449">
        <v>8</v>
      </c>
      <c r="B307" s="450" t="str">
        <f t="shared" si="11"/>
        <v>Johannes Neiland, Sirje Maala</v>
      </c>
      <c r="C307" s="451">
        <f t="shared" si="12"/>
        <v>13</v>
      </c>
      <c r="F307" s="985">
        <v>2</v>
      </c>
    </row>
    <row r="308" spans="1:6" x14ac:dyDescent="0.2">
      <c r="A308" s="449">
        <v>9</v>
      </c>
      <c r="B308" s="450" t="str">
        <f t="shared" si="11"/>
        <v>Meelis Luud, Sander Rose</v>
      </c>
      <c r="C308" s="451">
        <f t="shared" si="12"/>
        <v>12</v>
      </c>
      <c r="F308" s="985">
        <v>1</v>
      </c>
    </row>
    <row r="309" spans="1:6" x14ac:dyDescent="0.2">
      <c r="A309" s="449">
        <v>10</v>
      </c>
      <c r="B309" s="450" t="str">
        <f t="shared" si="11"/>
        <v>Enn Tokman, Tarmo Bombe</v>
      </c>
      <c r="C309" s="451">
        <f t="shared" si="12"/>
        <v>11</v>
      </c>
      <c r="F309" s="985">
        <v>1</v>
      </c>
    </row>
    <row r="310" spans="1:6" x14ac:dyDescent="0.2">
      <c r="A310" s="449">
        <v>11</v>
      </c>
      <c r="B310" s="450" t="str">
        <f t="shared" si="11"/>
        <v>Andrei Grintšak, Oleg Rõndenkov</v>
      </c>
      <c r="C310" s="451">
        <f t="shared" si="12"/>
        <v>10</v>
      </c>
      <c r="F310" s="985">
        <v>1</v>
      </c>
    </row>
  </sheetData>
  <conditionalFormatting sqref="C8:C18">
    <cfRule type="expression" dxfId="875" priority="40">
      <formula>IF($C8&gt;$E8,TRUE)</formula>
    </cfRule>
  </conditionalFormatting>
  <conditionalFormatting sqref="E8:E18">
    <cfRule type="expression" dxfId="874" priority="41">
      <formula>IF($C8&lt;$E8,TRUE)</formula>
    </cfRule>
  </conditionalFormatting>
  <conditionalFormatting sqref="K8:K18">
    <cfRule type="expression" dxfId="873" priority="48">
      <formula>IF($K8&gt;$M8,TRUE)</formula>
    </cfRule>
  </conditionalFormatting>
  <conditionalFormatting sqref="M8:M18">
    <cfRule type="expression" dxfId="872" priority="49">
      <formula>IF($K8&lt;$M8,TRUE)</formula>
    </cfRule>
  </conditionalFormatting>
  <conditionalFormatting sqref="O8:O18">
    <cfRule type="expression" dxfId="871" priority="52">
      <formula>IF($O8&gt;$Q8,TRUE)</formula>
    </cfRule>
  </conditionalFormatting>
  <conditionalFormatting sqref="Q8:Q18">
    <cfRule type="expression" dxfId="870" priority="53">
      <formula>IF($O8&lt;$Q8,TRUE)</formula>
    </cfRule>
  </conditionalFormatting>
  <conditionalFormatting sqref="S8:S18">
    <cfRule type="expression" dxfId="869" priority="56">
      <formula>IF($S8&gt;$U8,TRUE)</formula>
    </cfRule>
  </conditionalFormatting>
  <conditionalFormatting sqref="U8:U18">
    <cfRule type="expression" dxfId="868" priority="57">
      <formula>IF($S8&lt;$U8,TRUE)</formula>
    </cfRule>
  </conditionalFormatting>
  <conditionalFormatting sqref="G8:G18">
    <cfRule type="expression" dxfId="867" priority="44">
      <formula>IF($G8&gt;$I8,TRUE)</formula>
    </cfRule>
  </conditionalFormatting>
  <conditionalFormatting sqref="I8:I18">
    <cfRule type="expression" dxfId="866" priority="45">
      <formula>IF($G8&lt;$I8,TRUE)</formula>
    </cfRule>
  </conditionalFormatting>
  <conditionalFormatting sqref="F8:F18">
    <cfRule type="containsText" dxfId="865" priority="31" operator="containsText" text="vaba voor">
      <formula>NOT(ISERROR(SEARCH("vaba voor",F8)))</formula>
    </cfRule>
  </conditionalFormatting>
  <conditionalFormatting sqref="N8:N18">
    <cfRule type="containsText" dxfId="864" priority="29" operator="containsText" text="vaba voor">
      <formula>NOT(ISERROR(SEARCH("vaba voor",N8)))</formula>
    </cfRule>
  </conditionalFormatting>
  <conditionalFormatting sqref="R8:R18">
    <cfRule type="containsText" dxfId="863" priority="32" operator="containsText" text="vaba voor">
      <formula>NOT(ISERROR(SEARCH("vaba voor",R8)))</formula>
    </cfRule>
  </conditionalFormatting>
  <conditionalFormatting sqref="V8:V18">
    <cfRule type="containsText" dxfId="862" priority="28" operator="containsText" text="vaba voor">
      <formula>NOT(ISERROR(SEARCH("vaba voor",V8)))</formula>
    </cfRule>
  </conditionalFormatting>
  <conditionalFormatting sqref="J8:J18">
    <cfRule type="containsText" dxfId="861" priority="30" operator="containsText" text="vaba voor">
      <formula>NOT(ISERROR(SEARCH("vaba voor",J8)))</formula>
    </cfRule>
  </conditionalFormatting>
  <conditionalFormatting sqref="C8:F18">
    <cfRule type="expression" dxfId="860" priority="36">
      <formula>IF(AND(ISNUMBER($C8),$C8=$E8),TRUE)</formula>
    </cfRule>
    <cfRule type="expression" dxfId="859" priority="38">
      <formula>IF($C8&gt;$E8,TRUE)</formula>
    </cfRule>
    <cfRule type="expression" dxfId="858" priority="39">
      <formula>IF($C8&lt;$E8,TRUE)</formula>
    </cfRule>
  </conditionalFormatting>
  <conditionalFormatting sqref="G8:J18">
    <cfRule type="expression" dxfId="857" priority="37">
      <formula>IF(AND(ISNUMBER($G8),$G8=$I8),TRUE)</formula>
    </cfRule>
    <cfRule type="expression" dxfId="856" priority="42">
      <formula>IF($G8&gt;$I8,TRUE)</formula>
    </cfRule>
    <cfRule type="expression" dxfId="855" priority="43">
      <formula>IF($G8&lt;$I8,TRUE)</formula>
    </cfRule>
  </conditionalFormatting>
  <conditionalFormatting sqref="K8:N18">
    <cfRule type="expression" dxfId="854" priority="35">
      <formula>IF(AND(ISNUMBER($K8),$K8=$M8),TRUE)</formula>
    </cfRule>
    <cfRule type="expression" dxfId="853" priority="46">
      <formula>IF($K8&gt;$M8,TRUE)</formula>
    </cfRule>
    <cfRule type="expression" dxfId="852" priority="47">
      <formula>IF($K8&lt;$M8,TRUE)</formula>
    </cfRule>
  </conditionalFormatting>
  <conditionalFormatting sqref="O8:R18">
    <cfRule type="expression" dxfId="851" priority="34">
      <formula>IF(AND(ISNUMBER($O8),$O8=$Q8),TRUE)</formula>
    </cfRule>
    <cfRule type="expression" dxfId="850" priority="50">
      <formula>IF($O8&gt;$Q8,TRUE)</formula>
    </cfRule>
    <cfRule type="expression" dxfId="849" priority="51">
      <formula>IF($O8&lt;$Q8,TRUE)</formula>
    </cfRule>
  </conditionalFormatting>
  <conditionalFormatting sqref="S8:V18">
    <cfRule type="expression" dxfId="848" priority="33">
      <formula>IF(AND(ISNUMBER($S8),$S8=$U8),TRUE)</formula>
    </cfRule>
    <cfRule type="expression" dxfId="847" priority="54">
      <formula>IF($S8&gt;$U8,TRUE)</formula>
    </cfRule>
    <cfRule type="expression" dxfId="846" priority="55">
      <formula>IF($S8&lt;$U8,TRUE)</formula>
    </cfRule>
  </conditionalFormatting>
  <conditionalFormatting sqref="C8:C18 G8:G18 K8:K18 O8:O18 S8:S18">
    <cfRule type="expression" dxfId="845" priority="26">
      <formula>AND(C8=0,E8=13)</formula>
    </cfRule>
  </conditionalFormatting>
  <conditionalFormatting sqref="E8:E18 I8:I18 M8:M18 Q8:Q18 U8:U18">
    <cfRule type="expression" dxfId="844" priority="27">
      <formula>AND(E8=0,C8=13)</formula>
    </cfRule>
  </conditionalFormatting>
  <conditionalFormatting sqref="A300:A310">
    <cfRule type="duplicateValues" dxfId="843" priority="140"/>
  </conditionalFormatting>
  <conditionalFormatting sqref="A8:A18">
    <cfRule type="duplicateValues" dxfId="842" priority="146"/>
  </conditionalFormatting>
  <conditionalFormatting sqref="B300:B310">
    <cfRule type="expression" dxfId="841" priority="156">
      <formula>A300=3</formula>
    </cfRule>
    <cfRule type="expression" dxfId="840" priority="157">
      <formula>A300=2</formula>
    </cfRule>
    <cfRule type="expression" dxfId="839" priority="158">
      <formula>A300=1</formula>
    </cfRule>
    <cfRule type="containsBlanks" dxfId="838" priority="159">
      <formula>LEN(TRIM(B300))=0</formula>
    </cfRule>
    <cfRule type="duplicateValues" dxfId="837" priority="160"/>
  </conditionalFormatting>
  <conditionalFormatting sqref="AJ6:AJ18">
    <cfRule type="expression" dxfId="836" priority="5">
      <formula>AND(AI6="",FIND(",",AJ6))</formula>
    </cfRule>
    <cfRule type="expression" dxfId="835" priority="7">
      <formula>AND(AI6="",COUNTIF(AJ6,"*,*")=0)</formula>
    </cfRule>
  </conditionalFormatting>
  <conditionalFormatting sqref="AH6:AH18">
    <cfRule type="expression" dxfId="834" priority="8">
      <formula>AND(AG6="",FIND(",",AH6))</formula>
    </cfRule>
    <cfRule type="expression" dxfId="833" priority="9">
      <formula>AND(AG6="",COUNTIF(AH6,"*,*")=0)</formula>
    </cfRule>
  </conditionalFormatting>
  <conditionalFormatting sqref="AL6:AL18">
    <cfRule type="expression" dxfId="832" priority="10">
      <formula>AND(AK6="",FIND(",",AL6))</formula>
    </cfRule>
    <cfRule type="expression" dxfId="831" priority="11">
      <formula>AND(AK6="",COUNTIF(AL6,"*,*")=0)</formula>
    </cfRule>
  </conditionalFormatting>
  <conditionalFormatting sqref="AF6:AF18">
    <cfRule type="expression" dxfId="830" priority="6">
      <formula>AND(AE6="",COUNTIF(AF6,"*,*")=0)</formula>
    </cfRule>
  </conditionalFormatting>
  <conditionalFormatting sqref="AN6:AN18">
    <cfRule type="expression" dxfId="829" priority="2">
      <formula>AND(AM6="",COUNTIF(AN6,"*,*")=0)</formula>
    </cfRule>
    <cfRule type="expression" dxfId="828" priority="4">
      <formula>AND(AM6="",FIND(",",AN6))</formula>
    </cfRule>
  </conditionalFormatting>
  <conditionalFormatting sqref="AP6:AP18">
    <cfRule type="expression" dxfId="827" priority="1">
      <formula>AND(AO6="",COUNTIF(AP6,"*,*")=0)</formula>
    </cfRule>
    <cfRule type="expression" dxfId="826"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pageSetUpPr fitToPage="1"/>
  </sheetPr>
  <dimension ref="A1:AP308"/>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28.8554687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6.5703125" hidden="1" customWidth="1"/>
    <col min="33" max="33" width="9.140625" hidden="1" customWidth="1"/>
    <col min="34" max="34" width="13.85546875" hidden="1" customWidth="1"/>
    <col min="35" max="35" width="9.140625" hidden="1" customWidth="1"/>
    <col min="36" max="36" width="17.28515625" hidden="1" customWidth="1"/>
    <col min="37" max="37" width="9.140625" hidden="1" customWidth="1"/>
    <col min="38" max="38" width="18.7109375" hidden="1" customWidth="1"/>
    <col min="39" max="39" width="9.140625" hidden="1" customWidth="1"/>
    <col min="40" max="40" width="18.28515625" hidden="1" customWidth="1"/>
    <col min="41" max="41" width="9.140625" hidden="1" customWidth="1"/>
    <col min="42" max="42" width="14.5703125" hidden="1" customWidth="1"/>
  </cols>
  <sheetData>
    <row r="1" spans="1:42" x14ac:dyDescent="0.2">
      <c r="A1" s="462" t="str">
        <f>UPPER((Kalend!E40)&amp;" - "&amp;(Kalend!C40)&amp;" - "&amp;(Kalend!D40))</f>
        <v>V-D - VIRU SK LIIKMETE MV - DUO</v>
      </c>
      <c r="E1" s="405"/>
      <c r="F1" s="405"/>
      <c r="G1" s="405"/>
      <c r="H1" s="405"/>
      <c r="I1" s="405"/>
      <c r="J1" s="405"/>
      <c r="K1" s="405"/>
      <c r="L1" s="405"/>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"&amp;(Kalend!A40)&amp;" kell "&amp;(Kalend!B40)</f>
        <v>Toimumisaeg: P, 12.09.2021 kell 11:00</v>
      </c>
      <c r="E2" s="405"/>
      <c r="F2" s="405"/>
      <c r="G2" s="405"/>
      <c r="H2" s="405"/>
      <c r="I2" s="405"/>
      <c r="J2" s="405"/>
      <c r="K2" s="405"/>
      <c r="L2" s="405"/>
      <c r="AD2" s="409"/>
      <c r="AE2" s="409"/>
      <c r="AF2" s="409"/>
      <c r="AG2" s="409"/>
      <c r="AH2" s="409"/>
      <c r="AI2" s="585"/>
      <c r="AJ2" s="409"/>
      <c r="AK2" s="409"/>
      <c r="AL2" s="409"/>
      <c r="AM2" s="409"/>
      <c r="AN2" s="409"/>
    </row>
    <row r="3" spans="1:42" x14ac:dyDescent="0.2">
      <c r="A3" s="409" t="str">
        <f>"Toimumiskoht: "&amp;(Kalend!F40)</f>
        <v>Toimumiskoht: Voka staadion</v>
      </c>
      <c r="L3" s="410" t="s">
        <v>227</v>
      </c>
      <c r="AD3" s="409"/>
      <c r="AF3" s="409"/>
      <c r="AG3" s="409"/>
      <c r="AH3" s="409"/>
      <c r="AI3" s="409"/>
      <c r="AJ3" s="409"/>
      <c r="AK3" s="409"/>
      <c r="AL3" s="409"/>
      <c r="AM3" s="409"/>
      <c r="AN3" s="409"/>
    </row>
    <row r="4" spans="1:42" x14ac:dyDescent="0.2">
      <c r="A4" s="409" t="str">
        <f>"Korraldaja: "&amp;(Kalend!G40)</f>
        <v>Korraldaja: Johannes Neiland</v>
      </c>
      <c r="AD4" s="927" t="s">
        <v>231</v>
      </c>
    </row>
    <row r="5" spans="1:42"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970"/>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hidden="1" x14ac:dyDescent="0.2">
      <c r="A7" s="550">
        <v>1</v>
      </c>
      <c r="B7" s="971" t="s">
        <v>534</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16" si="0">SUM(AE7:AP7)</f>
        <v>132</v>
      </c>
      <c r="AE7" s="459">
        <f>IFERROR(INDEX(V!$R:$R,MATCH(AF7,V!$L:$L,0)),"")</f>
        <v>132</v>
      </c>
      <c r="AF7" s="460" t="str">
        <f>IFERROR(LEFT($B7,(FIND(",",$B7,1)-1)),"")</f>
        <v>Henri Mitt</v>
      </c>
      <c r="AG7" s="459" t="str">
        <f>IFERROR(INDEX(V!$R:$R,MATCH(AH7,V!$L:$L,0)),"")</f>
        <v/>
      </c>
      <c r="AH7" s="460" t="str">
        <f>IFERROR(MID($B7,FIND(", ",$B7)+2,256),"")</f>
        <v>Matti Vinni</v>
      </c>
      <c r="AI7" s="459" t="str">
        <f>IFERROR(INDEX(V!$R:$R,MATCH(AJ7,V!$L:$L,0)),"")</f>
        <v/>
      </c>
      <c r="AJ7" s="460" t="str">
        <f>IFERROR(MID($B7,FIND("^",SUBSTITUTE($B7,", ","^",1))+2,FIND("^",SUBSTITUTE($B7,", ","^",2))-FIND("^",SUBSTITUTE($B7,", ","^",1))-2),"")</f>
        <v/>
      </c>
      <c r="AK7" s="459" t="str">
        <f>IFERROR(INDEX(V!$R:$R,MATCH(AL7,V!$L:$L,0)),"")</f>
        <v/>
      </c>
      <c r="AL7" s="460" t="str">
        <f>IFERROR(MID($B7,FIND(", ",$B7,FIND(", ",$B7,FIND(", ",$B7))+1)+2,30000),"")</f>
        <v/>
      </c>
      <c r="AM7" s="459" t="str">
        <f>IFERROR(INDEX(V!$R:$R,MATCH(AN7,V!$L:$L,0)),"")</f>
        <v/>
      </c>
      <c r="AN7" s="460" t="str">
        <f>IFERROR(MID($B7,FIND(", ",$B7,FIND(", ",$B7)+1)+2,FIND(", ",$B7,FIND(", ",$B7,FIND(", ",$B7)+1)+1)-FIND(", ",$B7,FIND(", ",$B7)+1)-2),"")</f>
        <v/>
      </c>
      <c r="AO7" s="459" t="str">
        <f>IFERROR(INDEX(V!$R:$R,MATCH(AP7,V!$L:$L,0)),"")</f>
        <v/>
      </c>
      <c r="AP7" s="460" t="str">
        <f>IFERROR(MID($B7,FIND(", ",$B7,FIND(", ",$B7,FIND(", ",$B7)+1)+1)+2,30000),"")</f>
        <v/>
      </c>
    </row>
    <row r="8" spans="1:42" hidden="1" x14ac:dyDescent="0.2">
      <c r="A8" s="550">
        <v>2</v>
      </c>
      <c r="B8" s="969" t="s">
        <v>532</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si="0"/>
        <v>294</v>
      </c>
      <c r="AE8" s="459">
        <f>IFERROR(INDEX(V!$R:$R,MATCH(AF8,V!$L:$L,0)),"")</f>
        <v>139</v>
      </c>
      <c r="AF8" s="460" t="str">
        <f>IFERROR(LEFT($B8,(FIND(",",$B8,1)-1)),"")</f>
        <v>Kaspar Mänd</v>
      </c>
      <c r="AG8" s="459">
        <f>IFERROR(INDEX(V!$R:$R,MATCH(AH8,V!$L:$L,0)),"")</f>
        <v>155</v>
      </c>
      <c r="AH8" s="460" t="str">
        <f>IFERROR(MID($B8,FIND(", ",$B8)+2,256),"")</f>
        <v>Sander Rose</v>
      </c>
      <c r="AI8" s="459" t="str">
        <f>IFERROR(INDEX(V!$R:$R,MATCH(AJ8,V!$L:$L,0)),"")</f>
        <v/>
      </c>
      <c r="AJ8" s="460" t="str">
        <f>IFERROR(MID($B8,FIND("^",SUBSTITUTE($B8,", ","^",1))+2,FIND("^",SUBSTITUTE($B8,", ","^",2))-FIND("^",SUBSTITUTE($B8,", ","^",1))-2),"")</f>
        <v/>
      </c>
      <c r="AK8" s="459" t="str">
        <f>IFERROR(INDEX(V!$R:$R,MATCH(AL8,V!$L:$L,0)),"")</f>
        <v/>
      </c>
      <c r="AL8" s="460" t="str">
        <f>IFERROR(MID($B8,FIND(", ",$B8,FIND(", ",$B8,FIND(", ",$B8))+1)+2,30000),"")</f>
        <v/>
      </c>
      <c r="AM8" s="459" t="str">
        <f>IFERROR(INDEX(V!$R:$R,MATCH(AN8,V!$L:$L,0)),"")</f>
        <v/>
      </c>
      <c r="AN8" s="460" t="str">
        <f>IFERROR(MID($B8,FIND(", ",$B8,FIND(", ",$B8)+1)+2,FIND(", ",$B8,FIND(", ",$B8,FIND(", ",$B8)+1)+1)-FIND(", ",$B8,FIND(", ",$B8)+1)-2),"")</f>
        <v/>
      </c>
      <c r="AO8" s="459" t="str">
        <f>IFERROR(INDEX(V!$R:$R,MATCH(AP8,V!$L:$L,0)),"")</f>
        <v/>
      </c>
      <c r="AP8" s="460" t="str">
        <f>IFERROR(MID($B8,FIND(", ",$B8,FIND(", ",$B8,FIND(", ",$B8)+1)+1)+2,30000),"")</f>
        <v/>
      </c>
    </row>
    <row r="9" spans="1:42" hidden="1" x14ac:dyDescent="0.2">
      <c r="A9" s="550">
        <v>3</v>
      </c>
      <c r="B9" s="969" t="s">
        <v>476</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si="0"/>
        <v>231</v>
      </c>
      <c r="AE9" s="459">
        <f>IFERROR(INDEX(V!$R:$R,MATCH(AF9,V!$L:$L,0)),"")</f>
        <v>160</v>
      </c>
      <c r="AF9" s="460" t="str">
        <f>IFERROR(LEFT($B9,(FIND(",",$B9,1)-1)),"")</f>
        <v>Kenneth Muusikus</v>
      </c>
      <c r="AG9" s="459">
        <f>IFERROR(INDEX(V!$R:$R,MATCH(AH9,V!$L:$L,0)),"")</f>
        <v>71</v>
      </c>
      <c r="AH9" s="460" t="str">
        <f>IFERROR(MID($B9,FIND(", ",$B9)+2,256),"")</f>
        <v>Marta Bernat</v>
      </c>
      <c r="AI9" s="459" t="str">
        <f>IFERROR(INDEX(V!$R:$R,MATCH(AJ9,V!$L:$L,0)),"")</f>
        <v/>
      </c>
      <c r="AJ9" s="460" t="str">
        <f>IFERROR(MID($B9,FIND("^",SUBSTITUTE($B9,", ","^",1))+2,FIND("^",SUBSTITUTE($B9,", ","^",2))-FIND("^",SUBSTITUTE($B9,", ","^",1))-2),"")</f>
        <v/>
      </c>
      <c r="AK9" s="459" t="str">
        <f>IFERROR(INDEX(V!$R:$R,MATCH(AL9,V!$L:$L,0)),"")</f>
        <v/>
      </c>
      <c r="AL9" s="460" t="str">
        <f>IFERROR(MID($B9,FIND(", ",$B9,FIND(", ",$B9,FIND(", ",$B9))+1)+2,30000),"")</f>
        <v/>
      </c>
      <c r="AM9" s="459" t="str">
        <f>IFERROR(INDEX(V!$R:$R,MATCH(AN9,V!$L:$L,0)),"")</f>
        <v/>
      </c>
      <c r="AN9" s="460" t="str">
        <f>IFERROR(MID($B9,FIND(", ",$B9,FIND(", ",$B9)+1)+2,FIND(", ",$B9,FIND(", ",$B9,FIND(", ",$B9)+1)+1)-FIND(", ",$B9,FIND(", ",$B9)+1)-2),"")</f>
        <v/>
      </c>
      <c r="AO9" s="459" t="str">
        <f>IFERROR(INDEX(V!$R:$R,MATCH(AP9,V!$L:$L,0)),"")</f>
        <v/>
      </c>
      <c r="AP9" s="460" t="str">
        <f>IFERROR(MID($B9,FIND(", ",$B9,FIND(", ",$B9,FIND(", ",$B9)+1)+1)+2,30000),"")</f>
        <v/>
      </c>
    </row>
    <row r="10" spans="1:42" hidden="1" x14ac:dyDescent="0.2">
      <c r="A10" s="550">
        <v>4</v>
      </c>
      <c r="B10" s="972"/>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v>
      </c>
      <c r="T10" s="575" t="str">
        <f>Q10&amp;J10</f>
        <v>00</v>
      </c>
      <c r="U10" s="584"/>
      <c r="AD10" s="458">
        <f t="shared" si="0"/>
        <v>0</v>
      </c>
      <c r="AE10" s="459" t="str">
        <f>IFERROR(INDEX(V!$R:$R,MATCH(AF10,V!$L:$L,0)),"")</f>
        <v/>
      </c>
      <c r="AF10" s="460" t="str">
        <f t="shared" ref="AF10:AF23" si="1">IFERROR(LEFT($B10,(FIND(",",$B10,1)-1)),"")</f>
        <v/>
      </c>
      <c r="AG10" s="459" t="str">
        <f>IFERROR(INDEX(V!$R:$R,MATCH(AH10,V!$L:$L,0)),"")</f>
        <v/>
      </c>
      <c r="AH10" s="460" t="str">
        <f t="shared" ref="AH10:AH23" si="2">IFERROR(MID($B10,FIND(", ",$B10)+2,256),"")</f>
        <v/>
      </c>
      <c r="AI10" s="459" t="str">
        <f>IFERROR(INDEX(V!$R:$R,MATCH(AJ10,V!$L:$L,0)),"")</f>
        <v/>
      </c>
      <c r="AJ10" s="460" t="str">
        <f t="shared" ref="AJ10:AJ23" si="3">IFERROR(MID($B10,FIND("^",SUBSTITUTE($B10,", ","^",1))+2,FIND("^",SUBSTITUTE($B10,", ","^",2))-FIND("^",SUBSTITUTE($B10,", ","^",1))-2),"")</f>
        <v/>
      </c>
      <c r="AK10" s="459" t="str">
        <f>IFERROR(INDEX(V!$R:$R,MATCH(AL10,V!$L:$L,0)),"")</f>
        <v/>
      </c>
      <c r="AL10" s="460" t="str">
        <f t="shared" ref="AL10:AL23" si="4">IFERROR(MID($B10,FIND(", ",$B10,FIND(", ",$B10,FIND(", ",$B10))+1)+2,30000),"")</f>
        <v/>
      </c>
      <c r="AM10" s="459" t="str">
        <f>IFERROR(INDEX(V!$R:$R,MATCH(AN10,V!$L:$L,0)),"")</f>
        <v/>
      </c>
      <c r="AN10" s="460" t="str">
        <f t="shared" ref="AN10:AN23" si="5">IFERROR(MID($B10,FIND(", ",$B10,FIND(", ",$B10)+1)+2,FIND(", ",$B10,FIND(", ",$B10,FIND(", ",$B10)+1)+1)-FIND(", ",$B10,FIND(", ",$B10)+1)-2),"")</f>
        <v/>
      </c>
      <c r="AO10" s="459" t="str">
        <f>IFERROR(INDEX(V!$R:$R,MATCH(AP10,V!$L:$L,0)),"")</f>
        <v/>
      </c>
      <c r="AP10" s="460" t="str">
        <f t="shared" ref="AP10:AP23" si="6">IFERROR(MID($B10,FIND(", ",$B10,FIND(", ",$B10,FIND(", ",$B10)+1)+1)+2,30000),"")</f>
        <v/>
      </c>
    </row>
    <row r="11" spans="1:42" hidden="1" x14ac:dyDescent="0.2">
      <c r="A11" s="550">
        <v>5</v>
      </c>
      <c r="B11" s="972"/>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58">
        <f t="shared" si="0"/>
        <v>0</v>
      </c>
      <c r="AE11" s="459" t="str">
        <f>IFERROR(INDEX(V!$R:$R,MATCH(AF11,V!$L:$L,0)),"")</f>
        <v/>
      </c>
      <c r="AF11" s="460" t="str">
        <f t="shared" si="1"/>
        <v/>
      </c>
      <c r="AG11" s="459" t="str">
        <f>IFERROR(INDEX(V!$R:$R,MATCH(AH11,V!$L:$L,0)),"")</f>
        <v/>
      </c>
      <c r="AH11" s="460" t="str">
        <f t="shared" si="2"/>
        <v/>
      </c>
      <c r="AI11" s="459" t="str">
        <f>IFERROR(INDEX(V!$R:$R,MATCH(AJ11,V!$L:$L,0)),"")</f>
        <v/>
      </c>
      <c r="AJ11" s="460" t="str">
        <f t="shared" si="3"/>
        <v/>
      </c>
      <c r="AK11" s="459" t="str">
        <f>IFERROR(INDEX(V!$R:$R,MATCH(AL11,V!$L:$L,0)),"")</f>
        <v/>
      </c>
      <c r="AL11" s="460" t="str">
        <f t="shared" si="4"/>
        <v/>
      </c>
      <c r="AM11" s="459" t="str">
        <f>IFERROR(INDEX(V!$R:$R,MATCH(AN11,V!$L:$L,0)),"")</f>
        <v/>
      </c>
      <c r="AN11" s="460" t="str">
        <f t="shared" si="5"/>
        <v/>
      </c>
      <c r="AO11" s="459" t="str">
        <f>IFERROR(INDEX(V!$R:$R,MATCH(AP11,V!$L:$L,0)),"")</f>
        <v/>
      </c>
      <c r="AP11" s="460" t="str">
        <f t="shared" si="6"/>
        <v/>
      </c>
    </row>
    <row r="12" spans="1:42" hidden="1" x14ac:dyDescent="0.2">
      <c r="A12" s="592"/>
      <c r="B12" s="973"/>
      <c r="C12" s="594"/>
      <c r="D12" s="595"/>
      <c r="E12" s="594"/>
      <c r="F12" s="596"/>
      <c r="G12" s="597"/>
      <c r="H12" s="598"/>
      <c r="I12" s="405"/>
      <c r="J12" s="584"/>
      <c r="K12" s="584"/>
      <c r="L12" s="584"/>
      <c r="M12" s="584"/>
      <c r="N12" s="584"/>
      <c r="O12" s="584"/>
      <c r="P12" s="584"/>
      <c r="Q12" s="584"/>
      <c r="R12" s="588" t="s">
        <v>311</v>
      </c>
      <c r="S12" s="584"/>
      <c r="T12" s="584"/>
      <c r="U12" s="584"/>
      <c r="AD12" s="458">
        <f t="shared" si="0"/>
        <v>0</v>
      </c>
      <c r="AE12" s="459" t="str">
        <f>IFERROR(INDEX(V!$R:$R,MATCH(AF12,V!$L:$L,0)),"")</f>
        <v/>
      </c>
      <c r="AF12" s="460" t="str">
        <f t="shared" si="1"/>
        <v/>
      </c>
      <c r="AG12" s="459" t="str">
        <f>IFERROR(INDEX(V!$R:$R,MATCH(AH12,V!$L:$L,0)),"")</f>
        <v/>
      </c>
      <c r="AH12" s="460" t="str">
        <f t="shared" si="2"/>
        <v/>
      </c>
      <c r="AI12" s="459" t="str">
        <f>IFERROR(INDEX(V!$R:$R,MATCH(AJ12,V!$L:$L,0)),"")</f>
        <v/>
      </c>
      <c r="AJ12" s="460" t="str">
        <f t="shared" si="3"/>
        <v/>
      </c>
      <c r="AK12" s="459" t="str">
        <f>IFERROR(INDEX(V!$R:$R,MATCH(AL12,V!$L:$L,0)),"")</f>
        <v/>
      </c>
      <c r="AL12" s="460" t="str">
        <f t="shared" si="4"/>
        <v/>
      </c>
      <c r="AM12" s="459" t="str">
        <f>IFERROR(INDEX(V!$R:$R,MATCH(AN12,V!$L:$L,0)),"")</f>
        <v/>
      </c>
      <c r="AN12" s="460" t="str">
        <f t="shared" si="5"/>
        <v/>
      </c>
      <c r="AO12" s="459" t="str">
        <f>IFERROR(INDEX(V!$R:$R,MATCH(AP12,V!$L:$L,0)),"")</f>
        <v/>
      </c>
      <c r="AP12" s="460" t="str">
        <f t="shared" si="6"/>
        <v/>
      </c>
    </row>
    <row r="13" spans="1:42" hidden="1" x14ac:dyDescent="0.2">
      <c r="A13" s="550" t="s">
        <v>201</v>
      </c>
      <c r="B13" s="970"/>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58">
        <f t="shared" si="0"/>
        <v>0</v>
      </c>
      <c r="AE13" s="459" t="str">
        <f>IFERROR(INDEX(V!$R:$R,MATCH(AF13,V!$L:$L,0)),"")</f>
        <v/>
      </c>
      <c r="AF13" s="460" t="str">
        <f t="shared" si="1"/>
        <v/>
      </c>
      <c r="AG13" s="459" t="str">
        <f>IFERROR(INDEX(V!$R:$R,MATCH(AH13,V!$L:$L,0)),"")</f>
        <v/>
      </c>
      <c r="AH13" s="460" t="str">
        <f t="shared" si="2"/>
        <v/>
      </c>
      <c r="AI13" s="459" t="str">
        <f>IFERROR(INDEX(V!$R:$R,MATCH(AJ13,V!$L:$L,0)),"")</f>
        <v/>
      </c>
      <c r="AJ13" s="460" t="str">
        <f t="shared" si="3"/>
        <v/>
      </c>
      <c r="AK13" s="459" t="str">
        <f>IFERROR(INDEX(V!$R:$R,MATCH(AL13,V!$L:$L,0)),"")</f>
        <v/>
      </c>
      <c r="AL13" s="460" t="str">
        <f t="shared" si="4"/>
        <v/>
      </c>
      <c r="AM13" s="459" t="str">
        <f>IFERROR(INDEX(V!$R:$R,MATCH(AN13,V!$L:$L,0)),"")</f>
        <v/>
      </c>
      <c r="AN13" s="460" t="str">
        <f t="shared" si="5"/>
        <v/>
      </c>
      <c r="AO13" s="459" t="str">
        <f>IFERROR(INDEX(V!$R:$R,MATCH(AP13,V!$L:$L,0)),"")</f>
        <v/>
      </c>
      <c r="AP13" s="460" t="str">
        <f t="shared" si="6"/>
        <v/>
      </c>
    </row>
    <row r="14" spans="1:42" hidden="1" x14ac:dyDescent="0.2">
      <c r="A14" s="550">
        <v>1</v>
      </c>
      <c r="B14" s="974" t="s">
        <v>255</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58">
        <f t="shared" si="0"/>
        <v>259</v>
      </c>
      <c r="AE14" s="459">
        <f>IFERROR(INDEX(V!$R:$R,MATCH(AF14,V!$L:$L,0)),"")</f>
        <v>139</v>
      </c>
      <c r="AF14" s="460" t="str">
        <f t="shared" si="1"/>
        <v>Andres Veski</v>
      </c>
      <c r="AG14" s="459">
        <f>IFERROR(INDEX(V!$R:$R,MATCH(AH14,V!$L:$L,0)),"")</f>
        <v>120</v>
      </c>
      <c r="AH14" s="460" t="str">
        <f t="shared" si="2"/>
        <v>Svetlana Veski</v>
      </c>
      <c r="AI14" s="459" t="str">
        <f>IFERROR(INDEX(V!$R:$R,MATCH(AJ14,V!$L:$L,0)),"")</f>
        <v/>
      </c>
      <c r="AJ14" s="460" t="str">
        <f t="shared" si="3"/>
        <v/>
      </c>
      <c r="AK14" s="459" t="str">
        <f>IFERROR(INDEX(V!$R:$R,MATCH(AL14,V!$L:$L,0)),"")</f>
        <v/>
      </c>
      <c r="AL14" s="460" t="str">
        <f t="shared" si="4"/>
        <v/>
      </c>
      <c r="AM14" s="459" t="str">
        <f>IFERROR(INDEX(V!$R:$R,MATCH(AN14,V!$L:$L,0)),"")</f>
        <v/>
      </c>
      <c r="AN14" s="460" t="str">
        <f t="shared" si="5"/>
        <v/>
      </c>
      <c r="AO14" s="459" t="str">
        <f>IFERROR(INDEX(V!$R:$R,MATCH(AP14,V!$L:$L,0)),"")</f>
        <v/>
      </c>
      <c r="AP14" s="460" t="str">
        <f t="shared" si="6"/>
        <v/>
      </c>
    </row>
    <row r="15" spans="1:42" hidden="1" x14ac:dyDescent="0.2">
      <c r="A15" s="550">
        <v>2</v>
      </c>
      <c r="B15" s="971" t="s">
        <v>533</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58">
        <f t="shared" si="0"/>
        <v>165</v>
      </c>
      <c r="AE15" s="459">
        <f>IFERROR(INDEX(V!$R:$R,MATCH(AF15,V!$L:$L,0)),"")</f>
        <v>103</v>
      </c>
      <c r="AF15" s="460" t="str">
        <f t="shared" si="1"/>
        <v>Olav Türk</v>
      </c>
      <c r="AG15" s="459">
        <f>IFERROR(INDEX(V!$R:$R,MATCH(AH15,V!$L:$L,0)),"")</f>
        <v>62</v>
      </c>
      <c r="AH15" s="460" t="str">
        <f t="shared" si="2"/>
        <v>Sirje Maala</v>
      </c>
      <c r="AI15" s="459" t="str">
        <f>IFERROR(INDEX(V!$R:$R,MATCH(AJ15,V!$L:$L,0)),"")</f>
        <v/>
      </c>
      <c r="AJ15" s="460" t="str">
        <f t="shared" si="3"/>
        <v/>
      </c>
      <c r="AK15" s="459" t="str">
        <f>IFERROR(INDEX(V!$R:$R,MATCH(AL15,V!$L:$L,0)),"")</f>
        <v/>
      </c>
      <c r="AL15" s="460" t="str">
        <f t="shared" si="4"/>
        <v/>
      </c>
      <c r="AM15" s="459" t="str">
        <f>IFERROR(INDEX(V!$R:$R,MATCH(AN15,V!$L:$L,0)),"")</f>
        <v/>
      </c>
      <c r="AN15" s="460" t="str">
        <f t="shared" si="5"/>
        <v/>
      </c>
      <c r="AO15" s="459" t="str">
        <f>IFERROR(INDEX(V!$R:$R,MATCH(AP15,V!$L:$L,0)),"")</f>
        <v/>
      </c>
      <c r="AP15" s="460" t="str">
        <f t="shared" si="6"/>
        <v/>
      </c>
    </row>
    <row r="16" spans="1:42" hidden="1" x14ac:dyDescent="0.2">
      <c r="A16" s="550">
        <v>3</v>
      </c>
      <c r="B16" s="969" t="s">
        <v>338</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58">
        <f t="shared" si="0"/>
        <v>146</v>
      </c>
      <c r="AE16" s="459">
        <f>IFERROR(INDEX(V!$R:$R,MATCH(AF16,V!$L:$L,0)),"")</f>
        <v>73</v>
      </c>
      <c r="AF16" s="460" t="str">
        <f t="shared" si="1"/>
        <v>Ljudmila Varendi</v>
      </c>
      <c r="AG16" s="459">
        <f>IFERROR(INDEX(V!$R:$R,MATCH(AH16,V!$L:$L,0)),"")</f>
        <v>73</v>
      </c>
      <c r="AH16" s="460" t="str">
        <f t="shared" si="2"/>
        <v>Viktor Švarõgin</v>
      </c>
      <c r="AI16" s="459" t="str">
        <f>IFERROR(INDEX(V!$R:$R,MATCH(AJ16,V!$L:$L,0)),"")</f>
        <v/>
      </c>
      <c r="AJ16" s="460" t="str">
        <f t="shared" si="3"/>
        <v/>
      </c>
      <c r="AK16" s="459" t="str">
        <f>IFERROR(INDEX(V!$R:$R,MATCH(AL16,V!$L:$L,0)),"")</f>
        <v/>
      </c>
      <c r="AL16" s="460" t="str">
        <f t="shared" si="4"/>
        <v/>
      </c>
      <c r="AM16" s="459" t="str">
        <f>IFERROR(INDEX(V!$R:$R,MATCH(AN16,V!$L:$L,0)),"")</f>
        <v/>
      </c>
      <c r="AN16" s="460" t="str">
        <f t="shared" si="5"/>
        <v/>
      </c>
      <c r="AO16" s="459" t="str">
        <f>IFERROR(INDEX(V!$R:$R,MATCH(AP16,V!$L:$L,0)),"")</f>
        <v/>
      </c>
      <c r="AP16" s="460" t="str">
        <f t="shared" si="6"/>
        <v/>
      </c>
    </row>
    <row r="17" spans="1:42" hidden="1" x14ac:dyDescent="0.2">
      <c r="A17" s="550">
        <v>4</v>
      </c>
      <c r="B17" s="972"/>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U17" s="584"/>
      <c r="AD17" s="458">
        <f t="shared" ref="AD17:AD23" si="7">SUM(AE17:AP17)</f>
        <v>0</v>
      </c>
      <c r="AE17" s="459" t="str">
        <f>IFERROR(INDEX(V!$R:$R,MATCH(AF17,V!$L:$L,0)),"")</f>
        <v/>
      </c>
      <c r="AF17" s="460" t="str">
        <f t="shared" si="1"/>
        <v/>
      </c>
      <c r="AG17" s="459" t="str">
        <f>IFERROR(INDEX(V!$R:$R,MATCH(AH17,V!$L:$L,0)),"")</f>
        <v/>
      </c>
      <c r="AH17" s="460" t="str">
        <f t="shared" si="2"/>
        <v/>
      </c>
      <c r="AI17" s="459" t="str">
        <f>IFERROR(INDEX(V!$R:$R,MATCH(AJ17,V!$L:$L,0)),"")</f>
        <v/>
      </c>
      <c r="AJ17" s="460" t="str">
        <f t="shared" si="3"/>
        <v/>
      </c>
      <c r="AK17" s="459" t="str">
        <f>IFERROR(INDEX(V!$R:$R,MATCH(AL17,V!$L:$L,0)),"")</f>
        <v/>
      </c>
      <c r="AL17" s="460" t="str">
        <f t="shared" si="4"/>
        <v/>
      </c>
      <c r="AM17" s="459" t="str">
        <f>IFERROR(INDEX(V!$R:$R,MATCH(AN17,V!$L:$L,0)),"")</f>
        <v/>
      </c>
      <c r="AN17" s="460" t="str">
        <f t="shared" si="5"/>
        <v/>
      </c>
      <c r="AO17" s="459" t="str">
        <f>IFERROR(INDEX(V!$R:$R,MATCH(AP17,V!$L:$L,0)),"")</f>
        <v/>
      </c>
      <c r="AP17" s="460" t="str">
        <f t="shared" si="6"/>
        <v/>
      </c>
    </row>
    <row r="18" spans="1:42" hidden="1" x14ac:dyDescent="0.2">
      <c r="A18" s="550">
        <v>5</v>
      </c>
      <c r="B18" s="972"/>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58">
        <f t="shared" si="7"/>
        <v>0</v>
      </c>
      <c r="AE18" s="459" t="str">
        <f>IFERROR(INDEX(V!$R:$R,MATCH(AF18,V!$L:$L,0)),"")</f>
        <v/>
      </c>
      <c r="AF18" s="460" t="str">
        <f t="shared" si="1"/>
        <v/>
      </c>
      <c r="AG18" s="459" t="str">
        <f>IFERROR(INDEX(V!$R:$R,MATCH(AH18,V!$L:$L,0)),"")</f>
        <v/>
      </c>
      <c r="AH18" s="460" t="str">
        <f t="shared" si="2"/>
        <v/>
      </c>
      <c r="AI18" s="459" t="str">
        <f>IFERROR(INDEX(V!$R:$R,MATCH(AJ18,V!$L:$L,0)),"")</f>
        <v/>
      </c>
      <c r="AJ18" s="460" t="str">
        <f t="shared" si="3"/>
        <v/>
      </c>
      <c r="AK18" s="459" t="str">
        <f>IFERROR(INDEX(V!$R:$R,MATCH(AL18,V!$L:$L,0)),"")</f>
        <v/>
      </c>
      <c r="AL18" s="460" t="str">
        <f t="shared" si="4"/>
        <v/>
      </c>
      <c r="AM18" s="459" t="str">
        <f>IFERROR(INDEX(V!$R:$R,MATCH(AN18,V!$L:$L,0)),"")</f>
        <v/>
      </c>
      <c r="AN18" s="460" t="str">
        <f t="shared" si="5"/>
        <v/>
      </c>
      <c r="AO18" s="459" t="str">
        <f>IFERROR(INDEX(V!$R:$R,MATCH(AP18,V!$L:$L,0)),"")</f>
        <v/>
      </c>
      <c r="AP18" s="460" t="str">
        <f t="shared" si="6"/>
        <v/>
      </c>
    </row>
    <row r="19" spans="1:42" hidden="1" x14ac:dyDescent="0.2">
      <c r="A19" s="592"/>
      <c r="B19" s="973"/>
      <c r="C19" s="594"/>
      <c r="D19" s="595"/>
      <c r="E19" s="594"/>
      <c r="F19" s="596"/>
      <c r="G19" s="597"/>
      <c r="H19" s="598"/>
      <c r="I19" s="614"/>
      <c r="J19" s="584"/>
      <c r="K19" s="584"/>
      <c r="L19" s="584"/>
      <c r="M19" s="584"/>
      <c r="N19" s="584"/>
      <c r="O19" s="584"/>
      <c r="P19" s="584"/>
      <c r="Q19" s="584"/>
      <c r="R19" s="588" t="s">
        <v>311</v>
      </c>
      <c r="S19" s="584"/>
      <c r="T19" s="584"/>
      <c r="U19" s="584"/>
      <c r="AD19" s="458">
        <f t="shared" si="7"/>
        <v>0</v>
      </c>
      <c r="AE19" s="459" t="str">
        <f>IFERROR(INDEX(V!$R:$R,MATCH(AF19,V!$L:$L,0)),"")</f>
        <v/>
      </c>
      <c r="AF19" s="460" t="str">
        <f t="shared" si="1"/>
        <v/>
      </c>
      <c r="AG19" s="459" t="str">
        <f>IFERROR(INDEX(V!$R:$R,MATCH(AH19,V!$L:$L,0)),"")</f>
        <v/>
      </c>
      <c r="AH19" s="460" t="str">
        <f t="shared" si="2"/>
        <v/>
      </c>
      <c r="AI19" s="459" t="str">
        <f>IFERROR(INDEX(V!$R:$R,MATCH(AJ19,V!$L:$L,0)),"")</f>
        <v/>
      </c>
      <c r="AJ19" s="460" t="str">
        <f t="shared" si="3"/>
        <v/>
      </c>
      <c r="AK19" s="459" t="str">
        <f>IFERROR(INDEX(V!$R:$R,MATCH(AL19,V!$L:$L,0)),"")</f>
        <v/>
      </c>
      <c r="AL19" s="460" t="str">
        <f t="shared" si="4"/>
        <v/>
      </c>
      <c r="AM19" s="459" t="str">
        <f>IFERROR(INDEX(V!$R:$R,MATCH(AN19,V!$L:$L,0)),"")</f>
        <v/>
      </c>
      <c r="AN19" s="460" t="str">
        <f t="shared" si="5"/>
        <v/>
      </c>
      <c r="AO19" s="459" t="str">
        <f>IFERROR(INDEX(V!$R:$R,MATCH(AP19,V!$L:$L,0)),"")</f>
        <v/>
      </c>
      <c r="AP19" s="460" t="str">
        <f t="shared" si="6"/>
        <v/>
      </c>
    </row>
    <row r="20" spans="1:42" hidden="1" x14ac:dyDescent="0.2">
      <c r="A20" s="550" t="s">
        <v>202</v>
      </c>
      <c r="B20" s="970"/>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58">
        <f t="shared" si="7"/>
        <v>0</v>
      </c>
      <c r="AE20" s="459" t="str">
        <f>IFERROR(INDEX(V!$R:$R,MATCH(AF20,V!$L:$L,0)),"")</f>
        <v/>
      </c>
      <c r="AF20" s="460" t="str">
        <f t="shared" si="1"/>
        <v/>
      </c>
      <c r="AG20" s="459" t="str">
        <f>IFERROR(INDEX(V!$R:$R,MATCH(AH20,V!$L:$L,0)),"")</f>
        <v/>
      </c>
      <c r="AH20" s="460" t="str">
        <f t="shared" si="2"/>
        <v/>
      </c>
      <c r="AI20" s="459" t="str">
        <f>IFERROR(INDEX(V!$R:$R,MATCH(AJ20,V!$L:$L,0)),"")</f>
        <v/>
      </c>
      <c r="AJ20" s="460" t="str">
        <f t="shared" si="3"/>
        <v/>
      </c>
      <c r="AK20" s="459" t="str">
        <f>IFERROR(INDEX(V!$R:$R,MATCH(AL20,V!$L:$L,0)),"")</f>
        <v/>
      </c>
      <c r="AL20" s="460" t="str">
        <f t="shared" si="4"/>
        <v/>
      </c>
      <c r="AM20" s="459" t="str">
        <f>IFERROR(INDEX(V!$R:$R,MATCH(AN20,V!$L:$L,0)),"")</f>
        <v/>
      </c>
      <c r="AN20" s="460" t="str">
        <f t="shared" si="5"/>
        <v/>
      </c>
      <c r="AO20" s="459" t="str">
        <f>IFERROR(INDEX(V!$R:$R,MATCH(AP20,V!$L:$L,0)),"")</f>
        <v/>
      </c>
      <c r="AP20" s="460" t="str">
        <f t="shared" si="6"/>
        <v/>
      </c>
    </row>
    <row r="21" spans="1:42" hidden="1" x14ac:dyDescent="0.2">
      <c r="A21" s="550">
        <v>1</v>
      </c>
      <c r="B21" s="971" t="s">
        <v>535</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58">
        <f t="shared" si="7"/>
        <v>117</v>
      </c>
      <c r="AE21" s="459">
        <f>IFERROR(INDEX(V!$R:$R,MATCH(AF21,V!$L:$L,0)),"")</f>
        <v>117</v>
      </c>
      <c r="AF21" s="460" t="str">
        <f t="shared" si="1"/>
        <v>Oleg Rõndenkov</v>
      </c>
      <c r="AG21" s="459" t="str">
        <f>IFERROR(INDEX(V!$R:$R,MATCH(AH21,V!$L:$L,0)),"")</f>
        <v/>
      </c>
      <c r="AH21" s="460" t="str">
        <f t="shared" si="2"/>
        <v>Urmas</v>
      </c>
      <c r="AI21" s="459" t="str">
        <f>IFERROR(INDEX(V!$R:$R,MATCH(AJ21,V!$L:$L,0)),"")</f>
        <v/>
      </c>
      <c r="AJ21" s="460" t="str">
        <f t="shared" si="3"/>
        <v/>
      </c>
      <c r="AK21" s="459" t="str">
        <f>IFERROR(INDEX(V!$R:$R,MATCH(AL21,V!$L:$L,0)),"")</f>
        <v/>
      </c>
      <c r="AL21" s="460" t="str">
        <f t="shared" si="4"/>
        <v/>
      </c>
      <c r="AM21" s="459" t="str">
        <f>IFERROR(INDEX(V!$R:$R,MATCH(AN21,V!$L:$L,0)),"")</f>
        <v/>
      </c>
      <c r="AN21" s="460" t="str">
        <f t="shared" si="5"/>
        <v/>
      </c>
      <c r="AO21" s="459" t="str">
        <f>IFERROR(INDEX(V!$R:$R,MATCH(AP21,V!$L:$L,0)),"")</f>
        <v/>
      </c>
      <c r="AP21" s="460" t="str">
        <f t="shared" si="6"/>
        <v/>
      </c>
    </row>
    <row r="22" spans="1:42" hidden="1" x14ac:dyDescent="0.2">
      <c r="A22" s="550">
        <v>2</v>
      </c>
      <c r="B22" s="969" t="s">
        <v>536</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58">
        <f t="shared" si="7"/>
        <v>263</v>
      </c>
      <c r="AE22" s="459">
        <f>IFERROR(INDEX(V!$R:$R,MATCH(AF22,V!$L:$L,0)),"")</f>
        <v>134</v>
      </c>
      <c r="AF22" s="460" t="str">
        <f t="shared" si="1"/>
        <v>Elmo Lageda</v>
      </c>
      <c r="AG22" s="459">
        <f>IFERROR(INDEX(V!$R:$R,MATCH(AH22,V!$L:$L,0)),"")</f>
        <v>129</v>
      </c>
      <c r="AH22" s="460" t="str">
        <f t="shared" si="2"/>
        <v>Jaan Saar</v>
      </c>
      <c r="AI22" s="459" t="str">
        <f>IFERROR(INDEX(V!$R:$R,MATCH(AJ22,V!$L:$L,0)),"")</f>
        <v/>
      </c>
      <c r="AJ22" s="460" t="str">
        <f t="shared" si="3"/>
        <v/>
      </c>
      <c r="AK22" s="459" t="str">
        <f>IFERROR(INDEX(V!$R:$R,MATCH(AL22,V!$L:$L,0)),"")</f>
        <v/>
      </c>
      <c r="AL22" s="460" t="str">
        <f t="shared" si="4"/>
        <v/>
      </c>
      <c r="AM22" s="459" t="str">
        <f>IFERROR(INDEX(V!$R:$R,MATCH(AN22,V!$L:$L,0)),"")</f>
        <v/>
      </c>
      <c r="AN22" s="460" t="str">
        <f t="shared" si="5"/>
        <v/>
      </c>
      <c r="AO22" s="459" t="str">
        <f>IFERROR(INDEX(V!$R:$R,MATCH(AP22,V!$L:$L,0)),"")</f>
        <v/>
      </c>
      <c r="AP22" s="460" t="str">
        <f t="shared" si="6"/>
        <v/>
      </c>
    </row>
    <row r="23" spans="1:42" hidden="1" x14ac:dyDescent="0.2">
      <c r="A23" s="550">
        <v>3</v>
      </c>
      <c r="B23" s="969" t="s">
        <v>537</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58">
        <f t="shared" si="7"/>
        <v>150</v>
      </c>
      <c r="AE23" s="459">
        <f>IFERROR(INDEX(V!$R:$R,MATCH(AF23,V!$L:$L,0)),"")</f>
        <v>98</v>
      </c>
      <c r="AF23" s="460" t="str">
        <f t="shared" si="1"/>
        <v>Andrei Grintšak</v>
      </c>
      <c r="AG23" s="459">
        <f>IFERROR(INDEX(V!$R:$R,MATCH(AH23,V!$L:$L,0)),"")</f>
        <v>52</v>
      </c>
      <c r="AH23" s="460" t="str">
        <f t="shared" si="2"/>
        <v>Illar Tõnurist</v>
      </c>
      <c r="AI23" s="459" t="str">
        <f>IFERROR(INDEX(V!$R:$R,MATCH(AJ23,V!$L:$L,0)),"")</f>
        <v/>
      </c>
      <c r="AJ23" s="460" t="str">
        <f t="shared" si="3"/>
        <v/>
      </c>
      <c r="AK23" s="459" t="str">
        <f>IFERROR(INDEX(V!$R:$R,MATCH(AL23,V!$L:$L,0)),"")</f>
        <v/>
      </c>
      <c r="AL23" s="460" t="str">
        <f t="shared" si="4"/>
        <v/>
      </c>
      <c r="AM23" s="459" t="str">
        <f>IFERROR(INDEX(V!$R:$R,MATCH(AN23,V!$L:$L,0)),"")</f>
        <v/>
      </c>
      <c r="AN23" s="460" t="str">
        <f t="shared" si="5"/>
        <v/>
      </c>
      <c r="AO23" s="459" t="str">
        <f>IFERROR(INDEX(V!$R:$R,MATCH(AP23,V!$L:$L,0)),"")</f>
        <v/>
      </c>
      <c r="AP23" s="460" t="str">
        <f t="shared" si="6"/>
        <v/>
      </c>
    </row>
    <row r="24" spans="1:42" hidden="1" x14ac:dyDescent="0.2">
      <c r="A24" s="550">
        <v>4</v>
      </c>
      <c r="B24" s="969"/>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row>
    <row r="25" spans="1:42" hidden="1" x14ac:dyDescent="0.2">
      <c r="A25" s="550">
        <v>5</v>
      </c>
      <c r="B25" s="972"/>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row>
    <row r="26" spans="1:42" hidden="1" x14ac:dyDescent="0.2">
      <c r="A26" s="615"/>
      <c r="B26" s="975"/>
      <c r="C26" s="597"/>
      <c r="D26" s="597"/>
      <c r="E26" s="597"/>
      <c r="F26" s="616"/>
      <c r="G26" s="616"/>
      <c r="H26" s="617"/>
      <c r="I26" s="587"/>
      <c r="J26" s="584"/>
      <c r="K26" s="584"/>
      <c r="L26" s="584"/>
      <c r="M26" s="584"/>
      <c r="N26" s="584"/>
      <c r="O26" s="584"/>
      <c r="P26" s="584"/>
      <c r="Q26" s="584"/>
      <c r="R26" s="588" t="s">
        <v>311</v>
      </c>
      <c r="S26" s="584"/>
      <c r="T26" s="584"/>
      <c r="U26" s="584"/>
    </row>
    <row r="27" spans="1:42" hidden="1" x14ac:dyDescent="0.2">
      <c r="A27" s="550" t="s">
        <v>203</v>
      </c>
      <c r="B27" s="970"/>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row>
    <row r="28" spans="1:42" hidden="1" x14ac:dyDescent="0.2">
      <c r="A28" s="550">
        <v>1</v>
      </c>
      <c r="B28" s="976"/>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v>
      </c>
      <c r="T28" s="575" t="str">
        <f>Q28&amp;J28</f>
        <v>00</v>
      </c>
      <c r="U28" s="584"/>
    </row>
    <row r="29" spans="1:42" hidden="1" x14ac:dyDescent="0.2">
      <c r="A29" s="550">
        <v>2</v>
      </c>
      <c r="B29" s="969"/>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v>
      </c>
      <c r="T29" s="575" t="str">
        <f>Q29&amp;J29</f>
        <v>00</v>
      </c>
      <c r="U29" s="584"/>
    </row>
    <row r="30" spans="1:42" hidden="1" x14ac:dyDescent="0.2">
      <c r="A30" s="550">
        <v>3</v>
      </c>
      <c r="B30" s="969"/>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v>
      </c>
      <c r="T30" s="575" t="str">
        <f>Q30&amp;J30</f>
        <v>00</v>
      </c>
      <c r="U30" s="584"/>
    </row>
    <row r="31" spans="1:42" hidden="1" x14ac:dyDescent="0.2">
      <c r="A31" s="550">
        <v>4</v>
      </c>
      <c r="B31" s="972"/>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row>
    <row r="32" spans="1:42" hidden="1" x14ac:dyDescent="0.2">
      <c r="A32" s="550">
        <v>5</v>
      </c>
      <c r="B32" s="972"/>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row>
    <row r="33" spans="1:21"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row>
    <row r="300" spans="1:3" x14ac:dyDescent="0.2">
      <c r="A300" s="449">
        <v>1</v>
      </c>
      <c r="B300" s="450" t="s">
        <v>534</v>
      </c>
      <c r="C300" s="981"/>
    </row>
    <row r="301" spans="1:3" x14ac:dyDescent="0.2">
      <c r="A301" s="449">
        <v>2</v>
      </c>
      <c r="B301" s="450" t="s">
        <v>532</v>
      </c>
      <c r="C301" s="981"/>
    </row>
    <row r="302" spans="1:3" x14ac:dyDescent="0.2">
      <c r="A302" s="449">
        <v>3</v>
      </c>
      <c r="B302" s="450" t="s">
        <v>476</v>
      </c>
      <c r="C302" s="981"/>
    </row>
    <row r="303" spans="1:3" x14ac:dyDescent="0.2">
      <c r="A303" s="449">
        <v>4</v>
      </c>
      <c r="B303" s="450" t="s">
        <v>255</v>
      </c>
      <c r="C303" s="981"/>
    </row>
    <row r="304" spans="1:3" x14ac:dyDescent="0.2">
      <c r="A304" s="449">
        <v>5</v>
      </c>
      <c r="B304" s="450" t="s">
        <v>533</v>
      </c>
      <c r="C304" s="981"/>
    </row>
    <row r="305" spans="1:3" x14ac:dyDescent="0.2">
      <c r="A305" s="449">
        <v>6</v>
      </c>
      <c r="B305" s="450" t="s">
        <v>338</v>
      </c>
      <c r="C305" s="981"/>
    </row>
    <row r="306" spans="1:3" x14ac:dyDescent="0.2">
      <c r="A306" s="449">
        <v>7</v>
      </c>
      <c r="B306" s="968" t="s">
        <v>535</v>
      </c>
      <c r="C306" s="981"/>
    </row>
    <row r="307" spans="1:3" x14ac:dyDescent="0.2">
      <c r="A307" s="449">
        <v>8</v>
      </c>
      <c r="B307" s="450" t="s">
        <v>536</v>
      </c>
      <c r="C307" s="981"/>
    </row>
    <row r="308" spans="1:3" x14ac:dyDescent="0.2">
      <c r="A308" s="449">
        <v>9</v>
      </c>
      <c r="B308" s="450" t="s">
        <v>537</v>
      </c>
      <c r="C308" s="981"/>
    </row>
  </sheetData>
  <conditionalFormatting sqref="D7 C8">
    <cfRule type="aboveAverage" dxfId="825" priority="240"/>
  </conditionalFormatting>
  <conditionalFormatting sqref="E7 C9">
    <cfRule type="aboveAverage" dxfId="824" priority="239"/>
  </conditionalFormatting>
  <conditionalFormatting sqref="F7 C10">
    <cfRule type="aboveAverage" dxfId="823" priority="238"/>
  </conditionalFormatting>
  <conditionalFormatting sqref="E8 D9">
    <cfRule type="aboveAverage" dxfId="822" priority="237"/>
  </conditionalFormatting>
  <conditionalFormatting sqref="G7 C11">
    <cfRule type="aboveAverage" dxfId="821" priority="236"/>
  </conditionalFormatting>
  <conditionalFormatting sqref="F8 D10">
    <cfRule type="aboveAverage" dxfId="820" priority="235"/>
  </conditionalFormatting>
  <conditionalFormatting sqref="G8 D11">
    <cfRule type="aboveAverage" dxfId="819" priority="234"/>
  </conditionalFormatting>
  <conditionalFormatting sqref="F9 E10">
    <cfRule type="aboveAverage" dxfId="818" priority="233"/>
  </conditionalFormatting>
  <conditionalFormatting sqref="G9 E11">
    <cfRule type="aboveAverage" dxfId="817" priority="232"/>
  </conditionalFormatting>
  <conditionalFormatting sqref="F11 G10">
    <cfRule type="aboveAverage" dxfId="816" priority="231"/>
  </conditionalFormatting>
  <conditionalFormatting sqref="D14 C15">
    <cfRule type="aboveAverage" dxfId="815" priority="230"/>
  </conditionalFormatting>
  <conditionalFormatting sqref="E14 C16">
    <cfRule type="aboveAverage" dxfId="814" priority="229"/>
  </conditionalFormatting>
  <conditionalFormatting sqref="F14 C17">
    <cfRule type="aboveAverage" dxfId="813" priority="228"/>
  </conditionalFormatting>
  <conditionalFormatting sqref="E15 D16">
    <cfRule type="aboveAverage" dxfId="812" priority="227"/>
  </conditionalFormatting>
  <conditionalFormatting sqref="G14 C18">
    <cfRule type="aboveAverage" dxfId="811" priority="226"/>
  </conditionalFormatting>
  <conditionalFormatting sqref="F15 D17">
    <cfRule type="aboveAverage" dxfId="810" priority="225"/>
  </conditionalFormatting>
  <conditionalFormatting sqref="G15 D18">
    <cfRule type="aboveAverage" dxfId="809" priority="224"/>
  </conditionalFormatting>
  <conditionalFormatting sqref="F16 E17">
    <cfRule type="aboveAverage" dxfId="808" priority="223"/>
  </conditionalFormatting>
  <conditionalFormatting sqref="G16 E18">
    <cfRule type="aboveAverage" dxfId="807" priority="222"/>
  </conditionalFormatting>
  <conditionalFormatting sqref="F18 G17">
    <cfRule type="aboveAverage" dxfId="806" priority="221"/>
  </conditionalFormatting>
  <conditionalFormatting sqref="D21 C22">
    <cfRule type="aboveAverage" dxfId="805" priority="220"/>
  </conditionalFormatting>
  <conditionalFormatting sqref="E21 C23">
    <cfRule type="aboveAverage" dxfId="804" priority="219"/>
  </conditionalFormatting>
  <conditionalFormatting sqref="F21 C24">
    <cfRule type="aboveAverage" dxfId="803" priority="218"/>
  </conditionalFormatting>
  <conditionalFormatting sqref="E22 D23">
    <cfRule type="aboveAverage" dxfId="802" priority="217"/>
  </conditionalFormatting>
  <conditionalFormatting sqref="G21 C25">
    <cfRule type="aboveAverage" dxfId="801" priority="216"/>
  </conditionalFormatting>
  <conditionalFormatting sqref="F22 D24">
    <cfRule type="aboveAverage" dxfId="800" priority="215"/>
  </conditionalFormatting>
  <conditionalFormatting sqref="G22 D25">
    <cfRule type="aboveAverage" dxfId="799" priority="214"/>
  </conditionalFormatting>
  <conditionalFormatting sqref="F23 E24">
    <cfRule type="aboveAverage" dxfId="798" priority="213"/>
  </conditionalFormatting>
  <conditionalFormatting sqref="G23 E25">
    <cfRule type="aboveAverage" dxfId="797" priority="212"/>
  </conditionalFormatting>
  <conditionalFormatting sqref="F25 G24">
    <cfRule type="aboveAverage" dxfId="796" priority="211"/>
  </conditionalFormatting>
  <conditionalFormatting sqref="D28 C29">
    <cfRule type="aboveAverage" dxfId="795" priority="210"/>
  </conditionalFormatting>
  <conditionalFormatting sqref="E28 C30">
    <cfRule type="aboveAverage" dxfId="794" priority="209"/>
  </conditionalFormatting>
  <conditionalFormatting sqref="F28 C31">
    <cfRule type="aboveAverage" dxfId="793" priority="208"/>
  </conditionalFormatting>
  <conditionalFormatting sqref="E29 D30">
    <cfRule type="aboveAverage" dxfId="792" priority="207"/>
  </conditionalFormatting>
  <conditionalFormatting sqref="G28 C32">
    <cfRule type="aboveAverage" dxfId="791" priority="206"/>
  </conditionalFormatting>
  <conditionalFormatting sqref="F29 D31">
    <cfRule type="aboveAverage" dxfId="790" priority="205"/>
  </conditionalFormatting>
  <conditionalFormatting sqref="G29 D32">
    <cfRule type="aboveAverage" dxfId="789" priority="204"/>
  </conditionalFormatting>
  <conditionalFormatting sqref="F30 E31">
    <cfRule type="aboveAverage" dxfId="788" priority="203"/>
  </conditionalFormatting>
  <conditionalFormatting sqref="G30 E32">
    <cfRule type="aboveAverage" dxfId="787" priority="202"/>
  </conditionalFormatting>
  <conditionalFormatting sqref="F32 G31">
    <cfRule type="aboveAverage" dxfId="786" priority="201"/>
  </conditionalFormatting>
  <conditionalFormatting sqref="I28:I32">
    <cfRule type="expression" dxfId="785" priority="195">
      <formula>FIND(2,I28,1)</formula>
    </cfRule>
    <cfRule type="expression" dxfId="784" priority="196">
      <formula>FIND(1,I28,1)</formula>
    </cfRule>
  </conditionalFormatting>
  <conditionalFormatting sqref="I21:I25">
    <cfRule type="expression" dxfId="783" priority="197">
      <formula>FIND(2,I21,1)</formula>
    </cfRule>
    <cfRule type="expression" dxfId="782" priority="198">
      <formula>FIND(1,I21,1)</formula>
    </cfRule>
  </conditionalFormatting>
  <conditionalFormatting sqref="I7:I11">
    <cfRule type="expression" dxfId="781" priority="199">
      <formula>FIND(2,I7,1)</formula>
    </cfRule>
    <cfRule type="expression" dxfId="780" priority="200">
      <formula>FIND(1,I7,1)</formula>
    </cfRule>
  </conditionalFormatting>
  <conditionalFormatting sqref="H14:H18">
    <cfRule type="expression" dxfId="779" priority="139">
      <formula>AND(Q14=4,IF(COUNTIF(Q$14:Q$18,"=4")&gt;=2,TRUE))</formula>
    </cfRule>
    <cfRule type="expression" dxfId="778" priority="241">
      <formula>AND(Q14=3,IF(COUNTIF(Q$14:Q$18,"=3")&gt;=2,TRUE))</formula>
    </cfRule>
    <cfRule type="expression" dxfId="777" priority="242">
      <formula>AND(Q14=2,IF(COUNTIF(Q$14:Q$18,"=2")&gt;=2,TRUE))</formula>
    </cfRule>
    <cfRule type="expression" dxfId="776" priority="243">
      <formula>AND(Q14=1,IF(COUNTIF(Q$14:Q$18,"=1")&gt;=2,TRUE))</formula>
    </cfRule>
  </conditionalFormatting>
  <conditionalFormatting sqref="B7:B33">
    <cfRule type="duplicateValues" dxfId="775" priority="194"/>
  </conditionalFormatting>
  <conditionalFormatting sqref="L7:L11">
    <cfRule type="expression" dxfId="774" priority="177">
      <formula>K7=0</formula>
    </cfRule>
    <cfRule type="expression" dxfId="773" priority="186">
      <formula>IF(COUNTIF(J$7:J$11,"=2")=2,TRUE)</formula>
    </cfRule>
    <cfRule type="expression" dxfId="772" priority="187">
      <formula>IF(COUNTIF(J$7:J$11,"=1")=2,TRUE)</formula>
    </cfRule>
    <cfRule type="expression" dxfId="771" priority="188">
      <formula>AND(IF(COUNTIF(Q$7:Q$11,"=1")=2,TRUE),IF(COUNTIF(Q$7:Q$11,"=2")=2,TRUE))</formula>
    </cfRule>
    <cfRule type="expression" dxfId="770" priority="189">
      <formula>AND(Q7=4,IF(COUNTIF(Q$7:Q$11,"=4")=1,TRUE))</formula>
    </cfRule>
    <cfRule type="expression" dxfId="769" priority="190">
      <formula>AND(Q7=3,IF(COUNTIF(Q$7:Q$11,"=3")=1,TRUE))</formula>
    </cfRule>
    <cfRule type="expression" dxfId="768" priority="191">
      <formula>AND(Q7=2,IF(COUNTIF(Q$7:Q$11,"=2")=1,TRUE))</formula>
    </cfRule>
    <cfRule type="expression" dxfId="767" priority="192">
      <formula>AND(Q7=1,IF(COUNTIF(Q$7:Q$11,"=1")=1,TRUE))</formula>
    </cfRule>
    <cfRule type="expression" dxfId="766" priority="193">
      <formula>OR(Q7=0,Q7=5)</formula>
    </cfRule>
  </conditionalFormatting>
  <conditionalFormatting sqref="O7:O11">
    <cfRule type="expression" dxfId="765" priority="185">
      <formula>OR(AND(J7=1,K7=1,L7=0,M7=1),AND(J7=2,K7=2,L7=0,M7=2))</formula>
    </cfRule>
  </conditionalFormatting>
  <conditionalFormatting sqref="M7:M11">
    <cfRule type="expression" dxfId="764" priority="178">
      <formula>AND(L7&gt;0,IF(COUNTIF(L$7:L$11,L7)&gt;1,TRUE,FALSE))</formula>
    </cfRule>
    <cfRule type="expression" dxfId="763" priority="179">
      <formula>AND(IF(COUNTIF(R$7:R$11,"=1")=2,TRUE),IF(COUNTIF(R$7:R$11,"=2")=2,TRUE))</formula>
    </cfRule>
    <cfRule type="expression" dxfId="762" priority="180">
      <formula>AND(R7=4,IF(COUNTIF(R$7:R$11,"=4")=1,TRUE))</formula>
    </cfRule>
    <cfRule type="expression" dxfId="761" priority="181">
      <formula>AND(R7=3,IF(COUNTIF(R$7:R$11,"=3")=1,TRUE))</formula>
    </cfRule>
    <cfRule type="expression" dxfId="760" priority="182">
      <formula>AND(R7=2,IF(COUNTIF(R$7:R$11,"=2")=1,TRUE))</formula>
    </cfRule>
    <cfRule type="expression" dxfId="759" priority="183">
      <formula>AND(R7=1,IF(COUNTIF(R$7:R$11,"=1")=1,TRUE))</formula>
    </cfRule>
    <cfRule type="expression" dxfId="758" priority="184">
      <formula>OR(R7=0,R7=5)</formula>
    </cfRule>
  </conditionalFormatting>
  <conditionalFormatting sqref="J7:J11">
    <cfRule type="expression" dxfId="757" priority="173">
      <formula>AND(Q7=4,IF(COUNTIF(Q$7:Q$11,"=4")&gt;=2,TRUE))</formula>
    </cfRule>
    <cfRule type="expression" dxfId="756" priority="174">
      <formula>AND(Q7=3,IF(COUNTIF(Q$7:Q$11,"=3")&gt;=2,TRUE))</formula>
    </cfRule>
    <cfRule type="expression" dxfId="755" priority="175">
      <formula>AND(Q7=2,IF(COUNTIF(Q$7:Q$11,"=2")&gt;=2,TRUE))</formula>
    </cfRule>
    <cfRule type="expression" dxfId="754" priority="176">
      <formula>AND(Q7=1,IF(COUNTIF(Q$7:Q$11,"=1")&gt;=2,TRUE))</formula>
    </cfRule>
  </conditionalFormatting>
  <conditionalFormatting sqref="H7:H11">
    <cfRule type="expression" dxfId="753" priority="140">
      <formula>AND(Q7=4,IF(COUNTIF(Q$7:Q$11,"=4")&gt;=2,TRUE))</formula>
    </cfRule>
    <cfRule type="expression" dxfId="752" priority="244">
      <formula>AND(Q7=3,IF(COUNTIF(Q$7:Q$11,"=3")&gt;=2,TRUE))</formula>
    </cfRule>
    <cfRule type="expression" dxfId="751" priority="245">
      <formula>AND(Q7=2,IF(COUNTIF(Q$7:Q$11,"=2")&gt;=2,TRUE))</formula>
    </cfRule>
    <cfRule type="expression" dxfId="750" priority="246">
      <formula>AND(Q7=1,IF(COUNTIF(Q$7:Q$11,"=1")&gt;=2,TRUE))</formula>
    </cfRule>
  </conditionalFormatting>
  <conditionalFormatting sqref="K7:K11">
    <cfRule type="expression" dxfId="749" priority="247">
      <formula>AND(J7&gt;0,IF(COUNTIF(J$7:J$11,"=1")=2,TRUE),IF(COUNTIF(J$7:J$11,"=2")=2,TRUE))</formula>
    </cfRule>
    <cfRule type="expression" dxfId="748" priority="248">
      <formula>IF(COUNTIF(L$7:L$11,"=2")=2,TRUE)</formula>
    </cfRule>
    <cfRule type="expression" dxfId="747" priority="249">
      <formula>IF(COUNTIF(L$7:L$11,"=1")=2,TRUE)</formula>
    </cfRule>
    <cfRule type="expression" dxfId="746" priority="250">
      <formula>AND(IF(COUNTIF(R$7:R$11,"=1")=2,TRUE),IF(COUNTIF(S$7:S$11,"=2")=2,TRUE))</formula>
    </cfRule>
    <cfRule type="expression" dxfId="745" priority="251">
      <formula>AND(R7=4,IF(COUNTIF(R$7:R$11,"=4")=1,TRUE))</formula>
    </cfRule>
    <cfRule type="expression" dxfId="744" priority="252">
      <formula>AND(R7=3,IF(COUNTIF(R$7:R$11,"=3")=1,TRUE))</formula>
    </cfRule>
    <cfRule type="expression" dxfId="743" priority="253">
      <formula>AND(R7=2,IF(COUNTIF(R$7:R$11,"=2")=1,TRUE))</formula>
    </cfRule>
    <cfRule type="expression" dxfId="742" priority="254">
      <formula>AND(R7=1,IF(COUNTIF(R$7:R$11,"=1")=1,TRUE))</formula>
    </cfRule>
    <cfRule type="expression" dxfId="741" priority="255">
      <formula>OR(R7=0,R7=5)</formula>
    </cfRule>
  </conditionalFormatting>
  <conditionalFormatting sqref="I14:I18">
    <cfRule type="expression" dxfId="740" priority="162">
      <formula>FIND(2,I14,1)</formula>
    </cfRule>
    <cfRule type="expression" dxfId="739" priority="163">
      <formula>FIND(1,I14,1)</formula>
    </cfRule>
  </conditionalFormatting>
  <conditionalFormatting sqref="L14:L18">
    <cfRule type="expression" dxfId="738" priority="145">
      <formula>K14=0</formula>
    </cfRule>
    <cfRule type="expression" dxfId="737" priority="154">
      <formula>IF(COUNTIF(J$14:J$18,"=2")=2,TRUE)</formula>
    </cfRule>
    <cfRule type="expression" dxfId="736" priority="155">
      <formula>IF(COUNTIF(J$14:J$18,"=1")=2,TRUE)</formula>
    </cfRule>
    <cfRule type="expression" dxfId="735" priority="156">
      <formula>AND(IF(COUNTIF(Q$14:Q$18,"=1")=2,TRUE),IF(COUNTIF(Q$14:Q$18,"=2")=2,TRUE))</formula>
    </cfRule>
    <cfRule type="expression" dxfId="734" priority="157">
      <formula>AND(Q14=4,IF(COUNTIF(Q$14:Q$18,"=4")=1,TRUE))</formula>
    </cfRule>
    <cfRule type="expression" dxfId="733" priority="158">
      <formula>AND(Q14=3,IF(COUNTIF(Q$14:Q$18,"=3")=1,TRUE))</formula>
    </cfRule>
    <cfRule type="expression" dxfId="732" priority="159">
      <formula>AND(Q14=2,IF(COUNTIF(Q$14:Q$18,"=2")=1,TRUE))</formula>
    </cfRule>
    <cfRule type="expression" dxfId="731" priority="160">
      <formula>AND(Q14=1,IF(COUNTIF(Q$14:Q$18,"=1")=1,TRUE))</formula>
    </cfRule>
    <cfRule type="expression" dxfId="730" priority="161">
      <formula>OR(Q14=0,Q14=5)</formula>
    </cfRule>
  </conditionalFormatting>
  <conditionalFormatting sqref="O14:O18">
    <cfRule type="expression" dxfId="729" priority="153">
      <formula>OR(AND(J14=1,K14=1,L14=0,M14=1),AND(J14=2,K14=2,L14=0,M14=2))</formula>
    </cfRule>
  </conditionalFormatting>
  <conditionalFormatting sqref="M14:M18">
    <cfRule type="expression" dxfId="728" priority="146">
      <formula>AND(L14&gt;0,IF(COUNTIF(L$14:L$18,L14)&gt;1,TRUE,FALSE))</formula>
    </cfRule>
    <cfRule type="expression" dxfId="727" priority="147">
      <formula>AND(IF(COUNTIF(R$14:R$18,"=1")=2,TRUE),IF(COUNTIF(R$14:R$18,"=2")=2,TRUE))</formula>
    </cfRule>
    <cfRule type="expression" dxfId="726" priority="148">
      <formula>AND(R14=4,IF(COUNTIF(R$14:R$18,"=4")=1,TRUE))</formula>
    </cfRule>
    <cfRule type="expression" dxfId="725" priority="149">
      <formula>AND(R14=3,IF(COUNTIF(R$14:R$18,"=3")=1,TRUE))</formula>
    </cfRule>
    <cfRule type="expression" dxfId="724" priority="150">
      <formula>AND(R14=2,IF(COUNTIF(R$14:R$18,"=2")=1,TRUE))</formula>
    </cfRule>
    <cfRule type="expression" dxfId="723" priority="151">
      <formula>AND(R14=1,IF(COUNTIF(R$14:R$18,"=1")=1,TRUE))</formula>
    </cfRule>
    <cfRule type="expression" dxfId="722" priority="152">
      <formula>OR(R14=0,R14=5)</formula>
    </cfRule>
  </conditionalFormatting>
  <conditionalFormatting sqref="J14:J18">
    <cfRule type="expression" dxfId="721" priority="141">
      <formula>AND(Q14=4,IF(COUNTIF(Q$14:Q$18,"=4")&gt;=2,TRUE))</formula>
    </cfRule>
    <cfRule type="expression" dxfId="720" priority="142">
      <formula>AND(Q14=3,IF(COUNTIF(Q$14:Q$18,"=3")&gt;=2,TRUE))</formula>
    </cfRule>
    <cfRule type="expression" dxfId="719" priority="143">
      <formula>AND(Q14=2,IF(COUNTIF(Q$14:Q$18,"=2")&gt;=2,TRUE))</formula>
    </cfRule>
    <cfRule type="expression" dxfId="718" priority="144">
      <formula>AND(Q14=1,IF(COUNTIF(Q$14:Q$18,"=1")&gt;=2,TRUE))</formula>
    </cfRule>
  </conditionalFormatting>
  <conditionalFormatting sqref="K14:K18">
    <cfRule type="expression" dxfId="717" priority="164">
      <formula>AND(J14&gt;0,IF(COUNTIF(J$14:J$18,"=1")=2,TRUE),IF(COUNTIF(J$14:J$18,"=2")=2,TRUE))</formula>
    </cfRule>
    <cfRule type="expression" dxfId="716" priority="165">
      <formula>IF(COUNTIF(L$14:L$18,"=2")=2,TRUE)</formula>
    </cfRule>
    <cfRule type="expression" dxfId="715" priority="166">
      <formula>IF(COUNTIF(L$14:L$18,"=1")=2,TRUE)</formula>
    </cfRule>
    <cfRule type="expression" dxfId="714" priority="167">
      <formula>AND(IF(COUNTIF(R$14:R$18,"=1")=2,TRUE),IF(COUNTIF(S$14:S$18,"=2")=2,TRUE))</formula>
    </cfRule>
    <cfRule type="expression" dxfId="713" priority="168">
      <formula>AND(R14=4,IF(COUNTIF(R$14:R$18,"=4")=1,TRUE))</formula>
    </cfRule>
    <cfRule type="expression" dxfId="712" priority="169">
      <formula>AND(R14=3,IF(COUNTIF(R$14:R$18,"=3")=1,TRUE))</formula>
    </cfRule>
    <cfRule type="expression" dxfId="711" priority="170">
      <formula>AND(R14=2,IF(COUNTIF(R$14:R$18,"=2")=1,TRUE))</formula>
    </cfRule>
    <cfRule type="expression" dxfId="710" priority="171">
      <formula>AND(R14=1,IF(COUNTIF(R$14:R$18,"=1")=1,TRUE))</formula>
    </cfRule>
    <cfRule type="expression" dxfId="709" priority="172">
      <formula>OR(R14=0,R14=5)</formula>
    </cfRule>
  </conditionalFormatting>
  <conditionalFormatting sqref="L21:L25">
    <cfRule type="expression" dxfId="708" priority="113">
      <formula>K21=0</formula>
    </cfRule>
    <cfRule type="expression" dxfId="707" priority="122">
      <formula>IF(COUNTIF(J$21:J$25,"=2")=2,TRUE)</formula>
    </cfRule>
    <cfRule type="expression" dxfId="706" priority="123">
      <formula>IF(COUNTIF(J$21:J$25,"=1")=2,TRUE)</formula>
    </cfRule>
    <cfRule type="expression" dxfId="705" priority="124">
      <formula>AND(IF(COUNTIF(Q$21:Q$25,"=1")=2,TRUE),IF(COUNTIF(Q$21:Q$25,"=2")=2,TRUE))</formula>
    </cfRule>
    <cfRule type="expression" dxfId="704" priority="125">
      <formula>AND(Q21=4,IF(COUNTIF(Q$21:Q$25,"=4")=1,TRUE))</formula>
    </cfRule>
    <cfRule type="expression" dxfId="703" priority="126">
      <formula>AND(Q21=3,IF(COUNTIF(Q$21:Q$25,"=3")=1,TRUE))</formula>
    </cfRule>
    <cfRule type="expression" dxfId="702" priority="127">
      <formula>AND(Q21=2,IF(COUNTIF(Q$21:Q$25,"=2")=1,TRUE))</formula>
    </cfRule>
    <cfRule type="expression" dxfId="701" priority="128">
      <formula>AND(Q21=1,IF(COUNTIF(Q$21:Q$25,"=1")=1,TRUE))</formula>
    </cfRule>
    <cfRule type="expression" dxfId="700" priority="129">
      <formula>OR(Q21=0,Q21=5)</formula>
    </cfRule>
  </conditionalFormatting>
  <conditionalFormatting sqref="O21:O25">
    <cfRule type="expression" dxfId="699" priority="121">
      <formula>OR(AND(J21=1,K21=1,L21=0,M21=1),AND(J21=2,K21=2,L21=0,M21=2))</formula>
    </cfRule>
  </conditionalFormatting>
  <conditionalFormatting sqref="M21:M25">
    <cfRule type="expression" dxfId="698" priority="114">
      <formula>AND(L21&gt;0,IF(COUNTIF(L$21:L$25,L21)&gt;1,TRUE,FALSE))</formula>
    </cfRule>
    <cfRule type="expression" dxfId="697" priority="115">
      <formula>AND(IF(COUNTIF(R$21:R$25,"=1")=2,TRUE),IF(COUNTIF(R$21:R$25,"=2")=2,TRUE))</formula>
    </cfRule>
    <cfRule type="expression" dxfId="696" priority="116">
      <formula>AND(R21=4,IF(COUNTIF(R$21:R$25,"=4")=1,TRUE))</formula>
    </cfRule>
    <cfRule type="expression" dxfId="695" priority="117">
      <formula>AND(R21=3,IF(COUNTIF(R$21:R$25,"=3")=1,TRUE))</formula>
    </cfRule>
    <cfRule type="expression" dxfId="694" priority="118">
      <formula>AND(R21=2,IF(COUNTIF(R$21:R$25,"=2")=1,TRUE))</formula>
    </cfRule>
    <cfRule type="expression" dxfId="693" priority="119">
      <formula>AND(R21=1,IF(COUNTIF(R$21:R$25,"=1")=1,TRUE))</formula>
    </cfRule>
    <cfRule type="expression" dxfId="692" priority="120">
      <formula>OR(R21=0,R21=5)</formula>
    </cfRule>
  </conditionalFormatting>
  <conditionalFormatting sqref="J21:J25">
    <cfRule type="expression" dxfId="691" priority="109">
      <formula>AND(Q21=4,IF(COUNTIF(Q$21:Q$25,"=4")&gt;=2,TRUE))</formula>
    </cfRule>
    <cfRule type="expression" dxfId="690" priority="110">
      <formula>AND(Q21=3,IF(COUNTIF(Q$21:Q$25,"=3")&gt;=2,TRUE))</formula>
    </cfRule>
    <cfRule type="expression" dxfId="689" priority="111">
      <formula>AND(Q21=2,IF(COUNTIF(Q$21:Q$25,"=2")&gt;=2,TRUE))</formula>
    </cfRule>
    <cfRule type="expression" dxfId="688" priority="112">
      <formula>AND(Q21=1,IF(COUNTIF(Q$21:Q$25,"=1")&gt;=2,TRUE))</formula>
    </cfRule>
  </conditionalFormatting>
  <conditionalFormatting sqref="K21:K25">
    <cfRule type="expression" dxfId="687" priority="130">
      <formula>AND(J21&gt;0,IF(COUNTIF(J$21:J$25,"=1")=2,TRUE),IF(COUNTIF(J$21:J$25,"=2")=2,TRUE))</formula>
    </cfRule>
    <cfRule type="expression" dxfId="686" priority="131">
      <formula>IF(COUNTIF(L$21:L$25,"=2")=2,TRUE)</formula>
    </cfRule>
    <cfRule type="expression" dxfId="685" priority="132">
      <formula>IF(COUNTIF(L$21:L$25,"=1")=2,TRUE)</formula>
    </cfRule>
    <cfRule type="expression" dxfId="684" priority="133">
      <formula>AND(IF(COUNTIF(R$21:R$25,"=1")=2,TRUE),IF(COUNTIF(S$21:S$25,"=2")=2,TRUE))</formula>
    </cfRule>
    <cfRule type="expression" dxfId="683" priority="134">
      <formula>AND(R21=4,IF(COUNTIF(R$21:R$25,"=4")=1,TRUE))</formula>
    </cfRule>
    <cfRule type="expression" dxfId="682" priority="135">
      <formula>AND(R21=3,IF(COUNTIF(R$21:R$25,"=3")=1,TRUE))</formula>
    </cfRule>
    <cfRule type="expression" dxfId="681" priority="136">
      <formula>AND(R21=2,IF(COUNTIF(R$21:R$25,"=2")=1,TRUE))</formula>
    </cfRule>
    <cfRule type="expression" dxfId="680" priority="137">
      <formula>AND(R21=1,IF(COUNTIF(R$21:R$25,"=1")=1,TRUE))</formula>
    </cfRule>
    <cfRule type="expression" dxfId="679" priority="138">
      <formula>OR(R21=0,R21=5)</formula>
    </cfRule>
  </conditionalFormatting>
  <conditionalFormatting sqref="H21:H25">
    <cfRule type="expression" dxfId="678" priority="105">
      <formula>AND(Q21=4,IF(COUNTIF(Q$21:Q$25,"=4")&gt;=2,TRUE))</formula>
    </cfRule>
    <cfRule type="expression" dxfId="677" priority="106">
      <formula>AND(Q21=3,IF(COUNTIF(Q$21:Q$25,"=3")&gt;=2,TRUE))</formula>
    </cfRule>
    <cfRule type="expression" dxfId="676" priority="107">
      <formula>AND(Q21=2,IF(COUNTIF(Q$21:Q$25,"=2")&gt;=2,TRUE))</formula>
    </cfRule>
    <cfRule type="expression" dxfId="675" priority="108">
      <formula>AND(Q21=1,IF(COUNTIF(Q$21:Q$25,"=1")&gt;=2,TRUE))</formula>
    </cfRule>
  </conditionalFormatting>
  <conditionalFormatting sqref="L28:L32">
    <cfRule type="expression" dxfId="674" priority="79">
      <formula>K28=0</formula>
    </cfRule>
    <cfRule type="expression" dxfId="673" priority="88">
      <formula>IF(COUNTIF(J$28:J$32,"=2")=2,TRUE)</formula>
    </cfRule>
    <cfRule type="expression" dxfId="672" priority="89">
      <formula>IF(COUNTIF(J$28:J$32,"=1")=2,TRUE)</formula>
    </cfRule>
    <cfRule type="expression" dxfId="671" priority="90">
      <formula>AND(IF(COUNTIF(Q$28:Q$32,"=1")=2,TRUE),IF(COUNTIF(Q$28:Q$32,"=2")=2,TRUE))</formula>
    </cfRule>
    <cfRule type="expression" dxfId="670" priority="91">
      <formula>AND(Q28=4,IF(COUNTIF(Q$28:Q$32,"=4")=1,TRUE))</formula>
    </cfRule>
    <cfRule type="expression" dxfId="669" priority="92">
      <formula>AND(Q28=3,IF(COUNTIF(Q$28:Q$32,"=3")=1,TRUE))</formula>
    </cfRule>
    <cfRule type="expression" dxfId="668" priority="93">
      <formula>AND(Q28=2,IF(COUNTIF(Q$28:Q$32,"=2")=1,TRUE))</formula>
    </cfRule>
    <cfRule type="expression" dxfId="667" priority="94">
      <formula>AND(Q28=1,IF(COUNTIF(Q$28:Q$32,"=1")=1,TRUE))</formula>
    </cfRule>
    <cfRule type="expression" dxfId="666" priority="95">
      <formula>OR(Q28=0,Q28=5)</formula>
    </cfRule>
  </conditionalFormatting>
  <conditionalFormatting sqref="O28:O32">
    <cfRule type="expression" dxfId="665" priority="87">
      <formula>OR(AND(J28=1,K28=1,L28=0,M28=1),AND(J28=2,K28=2,L28=0,M28=2))</formula>
    </cfRule>
  </conditionalFormatting>
  <conditionalFormatting sqref="M28:M32">
    <cfRule type="expression" dxfId="664" priority="80">
      <formula>AND(L28&gt;0,IF(COUNTIF(L$28:L$32,L28)&gt;1,TRUE,FALSE))</formula>
    </cfRule>
    <cfRule type="expression" dxfId="663" priority="81">
      <formula>AND(IF(COUNTIF(R$28:R$32,"=1")=2,TRUE),IF(COUNTIF(R$28:R$32,"=2")=2,TRUE))</formula>
    </cfRule>
    <cfRule type="expression" dxfId="662" priority="82">
      <formula>AND(R28=4,IF(COUNTIF(R$28:R$32,"=4")=1,TRUE))</formula>
    </cfRule>
    <cfRule type="expression" dxfId="661" priority="83">
      <formula>AND(R28=3,IF(COUNTIF(R$28:R$32,"=3")=1,TRUE))</formula>
    </cfRule>
    <cfRule type="expression" dxfId="660" priority="84">
      <formula>AND(R28=2,IF(COUNTIF(R$28:R$32,"=2")=1,TRUE))</formula>
    </cfRule>
    <cfRule type="expression" dxfId="659" priority="85">
      <formula>AND(R28=1,IF(COUNTIF(R$28:R$32,"=1")=1,TRUE))</formula>
    </cfRule>
    <cfRule type="expression" dxfId="658" priority="86">
      <formula>OR(R28=0,R28=5)</formula>
    </cfRule>
  </conditionalFormatting>
  <conditionalFormatting sqref="J28:J32">
    <cfRule type="expression" dxfId="657" priority="75">
      <formula>AND(Q28=4,IF(COUNTIF(Q$28:Q$32,"=4")&gt;=2,TRUE))</formula>
    </cfRule>
    <cfRule type="expression" dxfId="656" priority="76">
      <formula>AND(Q28=3,IF(COUNTIF(Q$28:Q$32,"=3")&gt;=2,TRUE))</formula>
    </cfRule>
    <cfRule type="expression" dxfId="655" priority="77">
      <formula>AND(Q28=2,IF(COUNTIF(Q$28:Q$32,"=2")&gt;=2,TRUE))</formula>
    </cfRule>
    <cfRule type="expression" dxfId="654" priority="78">
      <formula>AND(Q28=1,IF(COUNTIF(Q$28:Q$32,"=1")&gt;=2,TRUE))</formula>
    </cfRule>
  </conditionalFormatting>
  <conditionalFormatting sqref="K28:K32">
    <cfRule type="expression" dxfId="653" priority="96">
      <formula>AND(J28&gt;0,IF(COUNTIF(J$28:J$32,"=1")=2,TRUE),IF(COUNTIF(J$28:J$32,"=2")=2,TRUE))</formula>
    </cfRule>
    <cfRule type="expression" dxfId="652" priority="97">
      <formula>IF(COUNTIF(L$28:L$32,"=2")=2,TRUE)</formula>
    </cfRule>
    <cfRule type="expression" dxfId="651" priority="98">
      <formula>IF(COUNTIF(L$28:L$32,"=1")=2,TRUE)</formula>
    </cfRule>
    <cfRule type="expression" dxfId="650" priority="99">
      <formula>AND(IF(COUNTIF(R$28:R$32,"=1")=2,TRUE),IF(COUNTIF(S$28:S$32,"=2")=2,TRUE))</formula>
    </cfRule>
    <cfRule type="expression" dxfId="649" priority="100">
      <formula>AND(R28=4,IF(COUNTIF(R$28:R$32,"=4")=1,TRUE))</formula>
    </cfRule>
    <cfRule type="expression" dxfId="648" priority="101">
      <formula>AND(R28=3,IF(COUNTIF(R$28:R$32,"=3")=1,TRUE))</formula>
    </cfRule>
    <cfRule type="expression" dxfId="647" priority="102">
      <formula>AND(R28=2,IF(COUNTIF(R$28:R$32,"=2")=1,TRUE))</formula>
    </cfRule>
    <cfRule type="expression" dxfId="646" priority="103">
      <formula>AND(R28=1,IF(COUNTIF(R$28:R$32,"=1")=1,TRUE))</formula>
    </cfRule>
    <cfRule type="expression" dxfId="645" priority="104">
      <formula>OR(R28=0,R28=5)</formula>
    </cfRule>
  </conditionalFormatting>
  <conditionalFormatting sqref="H28:H32">
    <cfRule type="expression" dxfId="644" priority="71">
      <formula>AND(Q28=4,IF(COUNTIF(Q$28:Q$32,"=4")&gt;=2,TRUE))</formula>
    </cfRule>
    <cfRule type="expression" dxfId="643" priority="72">
      <formula>AND(Q28=3,IF(COUNTIF(Q$28:Q$32,"=3")&gt;=2,TRUE))</formula>
    </cfRule>
    <cfRule type="expression" dxfId="642" priority="73">
      <formula>AND(Q28=2,IF(COUNTIF(Q$28:Q$32,"=2")&gt;=2,TRUE))</formula>
    </cfRule>
    <cfRule type="expression" dxfId="641" priority="74">
      <formula>AND(Q28=1,IF(COUNTIF(Q$28:Q$32,"=1")&gt;=2,TRUE))</formula>
    </cfRule>
  </conditionalFormatting>
  <conditionalFormatting sqref="C102 C104">
    <cfRule type="aboveAverage" dxfId="640" priority="70"/>
  </conditionalFormatting>
  <conditionalFormatting sqref="C102 C104">
    <cfRule type="containsBlanks" dxfId="639" priority="69">
      <formula>LEN(TRIM(C102))=0</formula>
    </cfRule>
  </conditionalFormatting>
  <conditionalFormatting sqref="E103 E107">
    <cfRule type="containsBlanks" dxfId="638" priority="67">
      <formula>LEN(TRIM(E103))=0</formula>
    </cfRule>
    <cfRule type="aboveAverage" dxfId="637" priority="68"/>
  </conditionalFormatting>
  <conditionalFormatting sqref="E111 E115">
    <cfRule type="containsBlanks" dxfId="636" priority="65">
      <formula>LEN(TRIM(E111))=0</formula>
    </cfRule>
    <cfRule type="aboveAverage" dxfId="635" priority="66"/>
  </conditionalFormatting>
  <conditionalFormatting sqref="C106 C108">
    <cfRule type="aboveAverage" dxfId="634" priority="64"/>
  </conditionalFormatting>
  <conditionalFormatting sqref="C106 C108">
    <cfRule type="containsBlanks" dxfId="633" priority="63">
      <formula>LEN(TRIM(C106))=0</formula>
    </cfRule>
  </conditionalFormatting>
  <conditionalFormatting sqref="C110 C112">
    <cfRule type="aboveAverage" dxfId="632" priority="62"/>
  </conditionalFormatting>
  <conditionalFormatting sqref="C110 C112">
    <cfRule type="containsBlanks" dxfId="631" priority="61">
      <formula>LEN(TRIM(C110))=0</formula>
    </cfRule>
  </conditionalFormatting>
  <conditionalFormatting sqref="C114 C116">
    <cfRule type="aboveAverage" dxfId="630" priority="60"/>
  </conditionalFormatting>
  <conditionalFormatting sqref="C114 C116">
    <cfRule type="containsBlanks" dxfId="629" priority="59">
      <formula>LEN(TRIM(C114))=0</formula>
    </cfRule>
  </conditionalFormatting>
  <conditionalFormatting sqref="G117 G119">
    <cfRule type="aboveAverage" dxfId="628" priority="58"/>
  </conditionalFormatting>
  <conditionalFormatting sqref="G117 G119">
    <cfRule type="containsBlanks" dxfId="627" priority="57">
      <formula>LEN(TRIM(G117))=0</formula>
    </cfRule>
  </conditionalFormatting>
  <conditionalFormatting sqref="G105 G113">
    <cfRule type="containsBlanks" dxfId="626" priority="55">
      <formula>LEN(TRIM(G105))=0</formula>
    </cfRule>
    <cfRule type="aboveAverage" dxfId="625" priority="56"/>
  </conditionalFormatting>
  <conditionalFormatting sqref="G124 G128">
    <cfRule type="containsBlanks" dxfId="624" priority="53">
      <formula>LEN(TRIM(G124))=0</formula>
    </cfRule>
    <cfRule type="aboveAverage" dxfId="623" priority="54"/>
  </conditionalFormatting>
  <conditionalFormatting sqref="E123 E125">
    <cfRule type="aboveAverage" dxfId="622" priority="52"/>
  </conditionalFormatting>
  <conditionalFormatting sqref="E123 E125">
    <cfRule type="containsBlanks" dxfId="621" priority="51">
      <formula>LEN(TRIM(E123))=0</formula>
    </cfRule>
  </conditionalFormatting>
  <conditionalFormatting sqref="E127 E129">
    <cfRule type="aboveAverage" dxfId="620" priority="50"/>
  </conditionalFormatting>
  <conditionalFormatting sqref="E127 E129">
    <cfRule type="containsBlanks" dxfId="619" priority="49">
      <formula>LEN(TRIM(E127))=0</formula>
    </cfRule>
  </conditionalFormatting>
  <conditionalFormatting sqref="G131 G133">
    <cfRule type="aboveAverage" dxfId="618" priority="48"/>
  </conditionalFormatting>
  <conditionalFormatting sqref="G131 G133">
    <cfRule type="containsBlanks" dxfId="617" priority="47">
      <formula>LEN(TRIM(G131))=0</formula>
    </cfRule>
  </conditionalFormatting>
  <conditionalFormatting sqref="C140 C142">
    <cfRule type="aboveAverage" dxfId="616" priority="46"/>
  </conditionalFormatting>
  <conditionalFormatting sqref="C140 C142">
    <cfRule type="containsBlanks" dxfId="615" priority="45">
      <formula>LEN(TRIM(C140))=0</formula>
    </cfRule>
  </conditionalFormatting>
  <conditionalFormatting sqref="E141 E145">
    <cfRule type="containsBlanks" dxfId="614" priority="43">
      <formula>LEN(TRIM(E141))=0</formula>
    </cfRule>
    <cfRule type="aboveAverage" dxfId="613" priority="44"/>
  </conditionalFormatting>
  <conditionalFormatting sqref="E149 E153">
    <cfRule type="containsBlanks" dxfId="612" priority="41">
      <formula>LEN(TRIM(E149))=0</formula>
    </cfRule>
    <cfRule type="aboveAverage" dxfId="611" priority="42"/>
  </conditionalFormatting>
  <conditionalFormatting sqref="C144 C146">
    <cfRule type="aboveAverage" dxfId="610" priority="40"/>
  </conditionalFormatting>
  <conditionalFormatting sqref="C144 C146">
    <cfRule type="containsBlanks" dxfId="609" priority="39">
      <formula>LEN(TRIM(C144))=0</formula>
    </cfRule>
  </conditionalFormatting>
  <conditionalFormatting sqref="C148 C150">
    <cfRule type="aboveAverage" dxfId="608" priority="38"/>
  </conditionalFormatting>
  <conditionalFormatting sqref="C148 C150">
    <cfRule type="containsBlanks" dxfId="607" priority="37">
      <formula>LEN(TRIM(C148))=0</formula>
    </cfRule>
  </conditionalFormatting>
  <conditionalFormatting sqref="C152 C154">
    <cfRule type="aboveAverage" dxfId="606" priority="36"/>
  </conditionalFormatting>
  <conditionalFormatting sqref="C152 C154">
    <cfRule type="containsBlanks" dxfId="605" priority="35">
      <formula>LEN(TRIM(C152))=0</formula>
    </cfRule>
  </conditionalFormatting>
  <conditionalFormatting sqref="G155 G157">
    <cfRule type="aboveAverage" dxfId="604" priority="34"/>
  </conditionalFormatting>
  <conditionalFormatting sqref="G155 G157">
    <cfRule type="containsBlanks" dxfId="603" priority="33">
      <formula>LEN(TRIM(G155))=0</formula>
    </cfRule>
  </conditionalFormatting>
  <conditionalFormatting sqref="G143 G151">
    <cfRule type="containsBlanks" dxfId="602" priority="31">
      <formula>LEN(TRIM(G143))=0</formula>
    </cfRule>
    <cfRule type="aboveAverage" dxfId="601" priority="32"/>
  </conditionalFormatting>
  <conditionalFormatting sqref="G162 G166">
    <cfRule type="containsBlanks" dxfId="600" priority="29">
      <formula>LEN(TRIM(G162))=0</formula>
    </cfRule>
    <cfRule type="aboveAverage" dxfId="599" priority="30"/>
  </conditionalFormatting>
  <conditionalFormatting sqref="E161 E163">
    <cfRule type="aboveAverage" dxfId="598" priority="28"/>
  </conditionalFormatting>
  <conditionalFormatting sqref="E161 E163">
    <cfRule type="containsBlanks" dxfId="597" priority="27">
      <formula>LEN(TRIM(E161))=0</formula>
    </cfRule>
  </conditionalFormatting>
  <conditionalFormatting sqref="E165 E167">
    <cfRule type="aboveAverage" dxfId="596" priority="26"/>
  </conditionalFormatting>
  <conditionalFormatting sqref="E165 E167">
    <cfRule type="containsBlanks" dxfId="595" priority="25">
      <formula>LEN(TRIM(E165))=0</formula>
    </cfRule>
  </conditionalFormatting>
  <conditionalFormatting sqref="G169 G171">
    <cfRule type="aboveAverage" dxfId="594" priority="24"/>
  </conditionalFormatting>
  <conditionalFormatting sqref="G169 G171">
    <cfRule type="containsBlanks" dxfId="593" priority="23">
      <formula>LEN(TRIM(G169))=0</formula>
    </cfRule>
  </conditionalFormatting>
  <conditionalFormatting sqref="A300:A308">
    <cfRule type="duplicateValues" dxfId="592" priority="256"/>
  </conditionalFormatting>
  <conditionalFormatting sqref="B300:B308">
    <cfRule type="expression" dxfId="591" priority="257">
      <formula>A300=3</formula>
    </cfRule>
    <cfRule type="expression" dxfId="590" priority="258">
      <formula>A300=2</formula>
    </cfRule>
    <cfRule type="expression" dxfId="589" priority="259">
      <formula>A300=1</formula>
    </cfRule>
    <cfRule type="containsBlanks" dxfId="588" priority="260">
      <formula>LEN(TRIM(B300))=0</formula>
    </cfRule>
    <cfRule type="duplicateValues" dxfId="587" priority="261"/>
  </conditionalFormatting>
  <conditionalFormatting sqref="AJ6:AJ23">
    <cfRule type="expression" dxfId="586" priority="5">
      <formula>AND(AI6="",FIND(",",AJ6))</formula>
    </cfRule>
    <cfRule type="expression" dxfId="585" priority="7">
      <formula>AND(AI6="",COUNTIF(AJ6,"*,*")=0)</formula>
    </cfRule>
  </conditionalFormatting>
  <conditionalFormatting sqref="AH6:AH23">
    <cfRule type="expression" dxfId="584" priority="8">
      <formula>AND(AG6="",FIND(",",AH6))</formula>
    </cfRule>
    <cfRule type="expression" dxfId="583" priority="9">
      <formula>AND(AG6="",COUNTIF(AH6,"*,*")=0)</formula>
    </cfRule>
  </conditionalFormatting>
  <conditionalFormatting sqref="AL6:AL23">
    <cfRule type="expression" dxfId="582" priority="10">
      <formula>AND(AK6="",FIND(",",AL6))</formula>
    </cfRule>
    <cfRule type="expression" dxfId="581" priority="11">
      <formula>AND(AK6="",COUNTIF(AL6,"*,*")=0)</formula>
    </cfRule>
  </conditionalFormatting>
  <conditionalFormatting sqref="AF6:AF23">
    <cfRule type="expression" dxfId="580" priority="6">
      <formula>AND(AE6="",COUNTIF(AF6,"*,*")=0)</formula>
    </cfRule>
  </conditionalFormatting>
  <conditionalFormatting sqref="AN6:AN23">
    <cfRule type="expression" dxfId="579" priority="2">
      <formula>AND(AM6="",COUNTIF(AN6,"*,*")=0)</formula>
    </cfRule>
    <cfRule type="expression" dxfId="578" priority="4">
      <formula>AND(AM6="",FIND(",",AN6))</formula>
    </cfRule>
  </conditionalFormatting>
  <conditionalFormatting sqref="AP6:AP23">
    <cfRule type="expression" dxfId="577" priority="1">
      <formula>AND(AO6="",COUNTIF(AP6,"*,*")=0)</formula>
    </cfRule>
    <cfRule type="expression" dxfId="576" priority="3">
      <formula>AND(AO6="",FIND(",",AP6))</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AJ81"/>
  <sheetViews>
    <sheetView showGridLines="0" showRowColHeaders="0" zoomScaleNormal="100" workbookViewId="0">
      <pane ySplit="7" topLeftCell="A8" activePane="bottomLeft" state="frozen"/>
      <selection pane="bottomLeft" activeCell="G1" activeCellId="2" sqref="P1 B1:B1048576 G1:H1048576"/>
    </sheetView>
  </sheetViews>
  <sheetFormatPr defaultRowHeight="12.75" x14ac:dyDescent="0.2"/>
  <cols>
    <col min="1" max="1" width="3.28515625" customWidth="1"/>
    <col min="2" max="2" width="3.28515625" hidden="1" customWidth="1"/>
    <col min="3" max="4" width="3.28515625" customWidth="1"/>
    <col min="5" max="5" width="3.7109375" customWidth="1"/>
    <col min="6" max="6" width="23.28515625" customWidth="1"/>
    <col min="7" max="7" width="2.28515625" hidden="1" customWidth="1"/>
    <col min="8" max="8" width="1.85546875" hidden="1" customWidth="1"/>
    <col min="9" max="9" width="5.7109375" customWidth="1"/>
    <col min="10" max="10" width="26.5703125" hidden="1" customWidth="1"/>
    <col min="11" max="11" width="28.5703125" hidden="1" customWidth="1"/>
    <col min="12" max="12" width="10.85546875" hidden="1" customWidth="1"/>
    <col min="13" max="13" width="8.5703125" hidden="1" customWidth="1"/>
    <col min="14" max="14" width="32.28515625" hidden="1" customWidth="1"/>
    <col min="15" max="15" width="10.7109375" hidden="1" customWidth="1"/>
    <col min="16" max="16" width="3.5703125" hidden="1" customWidth="1"/>
    <col min="17" max="17" width="3.28515625" bestFit="1" customWidth="1"/>
    <col min="18" max="18" width="3.5703125" bestFit="1" customWidth="1"/>
    <col min="19" max="21" width="3.28515625" bestFit="1" customWidth="1"/>
    <col min="22" max="22" width="3.28515625" customWidth="1"/>
    <col min="23" max="23" width="3.85546875" customWidth="1"/>
    <col min="24" max="25" width="3.5703125" bestFit="1" customWidth="1"/>
    <col min="26" max="28" width="3.28515625" bestFit="1" customWidth="1"/>
    <col min="29" max="31" width="3.28515625" customWidth="1"/>
    <col min="32" max="32" width="10.28515625" hidden="1" customWidth="1"/>
    <col min="33" max="33" width="10.5703125" hidden="1" customWidth="1"/>
    <col min="34" max="34" width="12" hidden="1" customWidth="1"/>
    <col min="35" max="35" width="14.28515625" hidden="1" customWidth="1"/>
  </cols>
  <sheetData>
    <row r="1" spans="1:36" x14ac:dyDescent="0.2">
      <c r="A1" s="171"/>
      <c r="B1" s="172"/>
      <c r="C1" s="34"/>
      <c r="D1" s="173"/>
      <c r="E1" s="34" t="s">
        <v>339</v>
      </c>
      <c r="F1" s="174"/>
      <c r="G1" s="175"/>
      <c r="H1" s="175"/>
      <c r="I1" s="174"/>
      <c r="J1" s="176" t="s">
        <v>68</v>
      </c>
      <c r="K1" s="177"/>
      <c r="L1" s="177"/>
      <c r="M1" s="177"/>
      <c r="N1" s="177"/>
      <c r="O1" s="177"/>
      <c r="P1" s="178"/>
      <c r="Q1" s="179"/>
      <c r="R1" s="174"/>
      <c r="S1" s="174"/>
      <c r="T1" s="174"/>
      <c r="U1" s="174"/>
      <c r="V1" s="174"/>
      <c r="W1" s="174"/>
      <c r="X1" s="180"/>
      <c r="Y1" s="174"/>
      <c r="Z1" s="174"/>
      <c r="AB1" s="181" t="s">
        <v>69</v>
      </c>
      <c r="AC1" s="183"/>
      <c r="AD1" s="184" t="s">
        <v>70</v>
      </c>
      <c r="AE1" s="184"/>
      <c r="AF1" s="176" t="s">
        <v>68</v>
      </c>
      <c r="AG1" s="266"/>
      <c r="AH1" s="172"/>
      <c r="AI1" s="172"/>
      <c r="AJ1" s="171"/>
    </row>
    <row r="2" spans="1:36" x14ac:dyDescent="0.2">
      <c r="A2" s="171"/>
      <c r="B2" s="171"/>
      <c r="C2" s="185"/>
      <c r="D2" s="185"/>
      <c r="E2" s="185" t="s">
        <v>543</v>
      </c>
      <c r="F2" s="186"/>
      <c r="G2" s="187"/>
      <c r="H2" s="187"/>
      <c r="I2" s="186"/>
      <c r="J2" s="186"/>
      <c r="K2" s="186"/>
      <c r="L2" s="186"/>
      <c r="M2" s="186"/>
      <c r="N2" s="186"/>
      <c r="O2" s="186"/>
      <c r="P2" s="186"/>
      <c r="Q2" s="186"/>
      <c r="R2" s="186"/>
      <c r="S2" s="186"/>
      <c r="T2" s="186"/>
      <c r="U2" s="186"/>
      <c r="V2" s="186"/>
      <c r="W2" s="186"/>
      <c r="X2" s="186"/>
      <c r="Y2" s="186"/>
      <c r="Z2" s="186"/>
      <c r="AA2" s="186"/>
      <c r="AB2" s="186"/>
      <c r="AC2" s="171"/>
      <c r="AD2" s="172" t="s">
        <v>71</v>
      </c>
      <c r="AE2" s="172"/>
      <c r="AF2" s="171"/>
      <c r="AG2" s="171"/>
      <c r="AH2" s="171"/>
      <c r="AI2" s="171"/>
      <c r="AJ2" s="171"/>
    </row>
    <row r="3" spans="1:36" x14ac:dyDescent="0.2">
      <c r="A3" s="171"/>
      <c r="B3" s="171"/>
      <c r="C3" s="186"/>
      <c r="D3" s="186"/>
      <c r="E3" s="171"/>
      <c r="F3" s="186"/>
      <c r="G3" s="188"/>
      <c r="H3" s="188"/>
      <c r="I3" s="186"/>
      <c r="J3" s="186"/>
      <c r="K3" s="186"/>
      <c r="L3" s="186"/>
      <c r="M3" s="186"/>
      <c r="N3" s="186"/>
      <c r="O3" s="186"/>
      <c r="P3" s="186"/>
      <c r="Q3" s="186"/>
      <c r="R3" s="186"/>
      <c r="S3" s="186"/>
      <c r="T3" s="186"/>
      <c r="U3" s="186"/>
      <c r="V3" s="186"/>
      <c r="W3" s="186"/>
      <c r="X3" s="186"/>
      <c r="Y3" s="186"/>
      <c r="Z3" s="186"/>
      <c r="AA3" s="186"/>
      <c r="AB3" s="186"/>
      <c r="AC3" s="171"/>
      <c r="AD3" s="189" t="s">
        <v>72</v>
      </c>
      <c r="AE3" s="189"/>
      <c r="AF3" s="171"/>
      <c r="AG3" s="171"/>
      <c r="AH3" s="171"/>
      <c r="AI3" s="171"/>
      <c r="AJ3" s="171"/>
    </row>
    <row r="4" spans="1:36" ht="56.25" x14ac:dyDescent="0.2">
      <c r="A4" s="190"/>
      <c r="B4" s="190"/>
      <c r="C4" s="190"/>
      <c r="D4" s="190"/>
      <c r="E4" s="191"/>
      <c r="F4" s="191"/>
      <c r="G4" s="192"/>
      <c r="H4" s="192"/>
      <c r="I4" s="190"/>
      <c r="J4" s="193" t="s">
        <v>73</v>
      </c>
      <c r="K4" s="193" t="s">
        <v>74</v>
      </c>
      <c r="L4" s="194" t="s">
        <v>75</v>
      </c>
      <c r="M4" s="195" t="s">
        <v>76</v>
      </c>
      <c r="N4" s="195" t="s">
        <v>77</v>
      </c>
      <c r="O4" s="196" t="s">
        <v>78</v>
      </c>
      <c r="P4" s="197" t="s">
        <v>79</v>
      </c>
      <c r="Q4" s="199" t="s">
        <v>80</v>
      </c>
      <c r="R4" s="198" t="s">
        <v>432</v>
      </c>
      <c r="S4" s="198" t="s">
        <v>432</v>
      </c>
      <c r="T4" s="197" t="s">
        <v>79</v>
      </c>
      <c r="U4" s="197" t="s">
        <v>79</v>
      </c>
      <c r="V4" s="198" t="s">
        <v>432</v>
      </c>
      <c r="W4" s="199" t="s">
        <v>80</v>
      </c>
      <c r="X4" s="200" t="s">
        <v>81</v>
      </c>
      <c r="Y4" s="200" t="s">
        <v>81</v>
      </c>
      <c r="Z4" s="200" t="s">
        <v>81</v>
      </c>
      <c r="AA4" s="199" t="s">
        <v>80</v>
      </c>
      <c r="AB4" s="199" t="s">
        <v>80</v>
      </c>
      <c r="AC4" s="171"/>
      <c r="AD4" s="171"/>
      <c r="AE4" s="171"/>
      <c r="AF4" s="171"/>
      <c r="AG4" s="171"/>
      <c r="AH4" s="171"/>
      <c r="AI4" s="171"/>
      <c r="AJ4" s="171"/>
    </row>
    <row r="5" spans="1:36" ht="29.25" x14ac:dyDescent="0.2">
      <c r="A5" s="190"/>
      <c r="B5" s="190"/>
      <c r="C5" s="190"/>
      <c r="D5" s="190"/>
      <c r="E5" s="191"/>
      <c r="F5" s="191"/>
      <c r="G5" s="192"/>
      <c r="H5" s="192"/>
      <c r="I5" s="201"/>
      <c r="J5" s="201"/>
      <c r="K5" s="201"/>
      <c r="L5" s="201"/>
      <c r="M5" s="201"/>
      <c r="N5" s="201"/>
      <c r="O5" s="201"/>
      <c r="P5" s="202" t="str">
        <f>MID(Kalend!$A6,4,5)</f>
        <v>13.05</v>
      </c>
      <c r="Q5" s="202" t="str">
        <f>MID(Kalend!$A7,4,5)</f>
        <v>15.05</v>
      </c>
      <c r="R5" s="202" t="str">
        <f>MID(Kalend!$A9,4,5)</f>
        <v>23.05</v>
      </c>
      <c r="S5" s="202" t="str">
        <f>MID(Kalend!$A10,4,5)</f>
        <v>29.05</v>
      </c>
      <c r="T5" s="202" t="str">
        <f>MID(Kalend!$A13,4,5)</f>
        <v>03.06</v>
      </c>
      <c r="U5" s="202" t="str">
        <f>MID(Kalend!$A14,4,5)</f>
        <v>06.06</v>
      </c>
      <c r="V5" s="202" t="str">
        <f>MID(Kalend!$A18,4,5)</f>
        <v>19.06</v>
      </c>
      <c r="W5" s="202" t="str">
        <f>MID(Kalend!$A19,4,5)</f>
        <v>22.06</v>
      </c>
      <c r="X5" s="202" t="str">
        <f>MID(Kalend!$A26,4,5)</f>
        <v>08.07</v>
      </c>
      <c r="Y5" s="202" t="str">
        <f>MID(Kalend!$A28,4,5)</f>
        <v>15.07</v>
      </c>
      <c r="Z5" s="202" t="str">
        <f>MID(Kalend!$A31,4,5)</f>
        <v>22.07</v>
      </c>
      <c r="AA5" s="202" t="str">
        <f>MID(Kalend!$A37,4,5)</f>
        <v>29.08</v>
      </c>
      <c r="AB5" s="202" t="str">
        <f>MID(Kalend!$A39,4,5)</f>
        <v>05.09</v>
      </c>
      <c r="AC5" s="995" t="s">
        <v>82</v>
      </c>
      <c r="AD5" s="996" t="s">
        <v>83</v>
      </c>
      <c r="AE5" s="997" t="s">
        <v>84</v>
      </c>
      <c r="AF5" s="171"/>
      <c r="AG5" s="171"/>
      <c r="AH5" s="171"/>
      <c r="AI5" s="171"/>
      <c r="AJ5" s="171"/>
    </row>
    <row r="6" spans="1:36" x14ac:dyDescent="0.2">
      <c r="A6" s="203"/>
      <c r="B6" s="204"/>
      <c r="C6" s="205"/>
      <c r="D6" s="205"/>
      <c r="E6" s="206" t="s">
        <v>85</v>
      </c>
      <c r="F6" s="191"/>
      <c r="G6" s="192"/>
      <c r="H6" s="192"/>
      <c r="I6" s="207" t="s">
        <v>86</v>
      </c>
      <c r="J6" s="208"/>
      <c r="K6" s="208"/>
      <c r="L6" s="208"/>
      <c r="M6" s="208"/>
      <c r="N6" s="208"/>
      <c r="O6" s="208"/>
      <c r="P6" s="209" t="s">
        <v>87</v>
      </c>
      <c r="Q6" s="209" t="s">
        <v>88</v>
      </c>
      <c r="R6" s="209" t="s">
        <v>87</v>
      </c>
      <c r="S6" s="209" t="s">
        <v>88</v>
      </c>
      <c r="T6" s="209" t="s">
        <v>88</v>
      </c>
      <c r="U6" s="209" t="s">
        <v>89</v>
      </c>
      <c r="V6" s="209" t="s">
        <v>89</v>
      </c>
      <c r="W6" s="209" t="s">
        <v>52</v>
      </c>
      <c r="X6" s="209" t="s">
        <v>88</v>
      </c>
      <c r="Y6" s="209" t="s">
        <v>87</v>
      </c>
      <c r="Z6" s="209" t="s">
        <v>89</v>
      </c>
      <c r="AA6" s="209" t="s">
        <v>87</v>
      </c>
      <c r="AB6" s="209" t="s">
        <v>89</v>
      </c>
      <c r="AC6" s="995"/>
      <c r="AD6" s="996"/>
      <c r="AE6" s="997"/>
      <c r="AF6" s="171"/>
      <c r="AG6" s="171"/>
      <c r="AH6" s="171"/>
      <c r="AI6" s="171"/>
      <c r="AJ6" s="171"/>
    </row>
    <row r="7" spans="1:36" x14ac:dyDescent="0.2">
      <c r="A7" s="210" t="s">
        <v>90</v>
      </c>
      <c r="B7" s="211" t="s">
        <v>90</v>
      </c>
      <c r="C7" s="212" t="s">
        <v>91</v>
      </c>
      <c r="D7" s="213" t="s">
        <v>91</v>
      </c>
      <c r="E7" s="214" t="s">
        <v>92</v>
      </c>
      <c r="F7" s="215" t="s">
        <v>93</v>
      </c>
      <c r="G7" s="211" t="s">
        <v>90</v>
      </c>
      <c r="H7" s="216" t="s">
        <v>91</v>
      </c>
      <c r="I7" s="217" t="s">
        <v>94</v>
      </c>
      <c r="J7" s="218" t="s">
        <v>95</v>
      </c>
      <c r="K7" s="219" t="s">
        <v>96</v>
      </c>
      <c r="L7" s="220" t="s">
        <v>97</v>
      </c>
      <c r="M7" s="220" t="s">
        <v>98</v>
      </c>
      <c r="N7" s="219" t="s">
        <v>99</v>
      </c>
      <c r="O7" s="220" t="s">
        <v>100</v>
      </c>
      <c r="P7" s="221" t="str">
        <f>HYPERLINK("#1!A5"," 1 ")</f>
        <v xml:space="preserve"> 1 </v>
      </c>
      <c r="Q7" s="221" t="str">
        <f>HYPERLINK("#2!A5"," 2 ")</f>
        <v xml:space="preserve"> 2 </v>
      </c>
      <c r="R7" s="221" t="str">
        <f>HYPERLINK("#3!A5"," 3 ")</f>
        <v xml:space="preserve"> 3 </v>
      </c>
      <c r="S7" s="221" t="str">
        <f>HYPERLINK("#4!A5"," 4 ")</f>
        <v xml:space="preserve"> 4 </v>
      </c>
      <c r="T7" s="221" t="str">
        <f>HYPERLINK("#5!A5"," 5 ")</f>
        <v xml:space="preserve"> 5 </v>
      </c>
      <c r="U7" s="221" t="str">
        <f>HYPERLINK("#6!A5"," 6 ")</f>
        <v xml:space="preserve"> 6 </v>
      </c>
      <c r="V7" s="221" t="str">
        <f>HYPERLINK("#7!A5"," 7 ")</f>
        <v xml:space="preserve"> 7 </v>
      </c>
      <c r="W7" s="221" t="str">
        <f>HYPERLINK("#8!A5"," 8 ")</f>
        <v xml:space="preserve"> 8 </v>
      </c>
      <c r="X7" s="221" t="str">
        <f>HYPERLINK("#9!A5"," 9 ")</f>
        <v xml:space="preserve"> 9 </v>
      </c>
      <c r="Y7" s="221" t="str">
        <f>HYPERLINK("#10!A5","10")</f>
        <v>10</v>
      </c>
      <c r="Z7" s="221" t="str">
        <f>HYPERLINK("#11!A5","11")</f>
        <v>11</v>
      </c>
      <c r="AA7" s="221" t="str">
        <f>HYPERLINK("#12!A5","12")</f>
        <v>12</v>
      </c>
      <c r="AB7" s="221" t="str">
        <f>HYPERLINK("#13!A5","13")</f>
        <v>13</v>
      </c>
      <c r="AC7" s="222"/>
      <c r="AD7" s="223"/>
      <c r="AE7" s="183"/>
      <c r="AF7" s="224" t="s">
        <v>101</v>
      </c>
      <c r="AG7" s="224" t="s">
        <v>102</v>
      </c>
      <c r="AH7" s="224" t="s">
        <v>103</v>
      </c>
      <c r="AI7" s="224" t="s">
        <v>104</v>
      </c>
      <c r="AJ7" s="171"/>
    </row>
    <row r="8" spans="1:36" x14ac:dyDescent="0.2">
      <c r="A8" s="225" t="str">
        <f t="shared" ref="A8:A39" si="0">IFERROR(RANK(B8,B$8:B$62,1),"")</f>
        <v/>
      </c>
      <c r="B8" s="226" t="str">
        <f t="shared" ref="B8:B39" si="1">IF(G8="n",L8,"")</f>
        <v/>
      </c>
      <c r="C8" s="227" t="str">
        <f t="shared" ref="C8:C39" si="2">IFERROR(RANK(D8,D$8:D$62,1),"")</f>
        <v/>
      </c>
      <c r="D8" s="228" t="str">
        <f t="shared" ref="D8:D39" si="3">IF(H8="j",L8,"")</f>
        <v/>
      </c>
      <c r="E8" s="229">
        <f t="shared" ref="E8:E39" ca="1" si="4">RANK(L8,L$8:L$62,1)</f>
        <v>1</v>
      </c>
      <c r="F8" s="191" t="s">
        <v>107</v>
      </c>
      <c r="G8" s="230"/>
      <c r="H8" s="231"/>
      <c r="I8" s="232">
        <f t="array" aca="1" ref="I8" ca="1">(IF(COUNT(P8,R8,Y8,AA8)&lt;3,SUM(P8,R8,Y8,AA8),SUM(LARGE((P8,R8,Y8,AA8),{1;2;3}))))+(IF(COUNT(Q8,S8,T8,X8)&lt;3,SUM(Q8,S8,T8,X8),SUM(LARGE((Q8,S8,T8,X8),{1;2;3}))))+(IF(COUNT(U8,V8,W8,Z8,AB8)&lt;3,SUM(U8,V8,W8,Z8,AB8),SUM(LARGE((U8,V8,W8,Z8,AB8),{1;2;3}))))</f>
        <v>294</v>
      </c>
      <c r="J8" s="233" t="str">
        <f ca="1">INDEX(ETAPP!B$1:B$32,MATCH(COUNTIF(P8:AB8,PIV!A$1),ETAPP!A$1:A$32,0))&amp;INDEX(ETAPP!B$1:B$32,MATCH(COUNTIF(P8:AB8,PIV!A$2),ETAPP!A$1:A$32,0))&amp;INDEX(ETAPP!B$1:B$32,MATCH(COUNTIF(P8:AB8,PIV!A$3),ETAPP!A$1:A$32,0))&amp;INDEX(ETAPP!B$1:B$32,MATCH(COUNTIF(P8:AB8,PIV!A$4),ETAPP!A$1:A$32,0))&amp;INDEX(ETAPP!B$1:B$32,MATCH(COUNTIF(P8:AB8,PIV!A$5),ETAPP!A$1:A$32,0))&amp;INDEX(ETAPP!B$1:B$32,MATCH(COUNTIF(P8:AB8,PIV!A$6),ETAPP!A$1:A$32,0))&amp;INDEX(ETAPP!B$1:B$32,MATCH(COUNTIF(P8:AB8,PIV!A$7),ETAPP!A$1:A$32,0))&amp;INDEX(ETAPP!B$1:B$32,MATCH(COUNTIF(P8:AB8,PIV!A$8),ETAPP!A$1:A$32,0))&amp;INDEX(ETAPP!B$1:B$32,MATCH(COUNTIF(P8:AB8,PIV!A$9),ETAPP!A$1:A$32,0))&amp;INDEX(ETAPP!B$1:B$32,MATCH(COUNTIF(P8:AB8,PIV!A$10),ETAPP!A$1:A$32,0))&amp;INDEX(ETAPP!B$1:B$32,MATCH(COUNTIF(P8:AB8,PIV!A$11),ETAPP!A$1:A$32,0))&amp;INDEX(ETAPP!B$1:B$32,MATCH(COUNTIF(P8:AB8,PIV!A$12),ETAPP!A$1:A$32,0))&amp;INDEX(ETAPP!B$1:B$32,MATCH(COUNTIF(P8:AB8,PIV!A$13),ETAPP!A$1:A$32,0))&amp;INDEX(ETAPP!B$1:B$32,MATCH(COUNTIF(P8:AB8,PIV!A$14),ETAPP!A$1:A$32,0))&amp;INDEX(ETAPP!B$1:B$32,MATCH(COUNTIF(P8:AB8,PIV!A$15),ETAPP!A$1:A$32,0))&amp;INDEX(ETAPP!B$1:B$32,MATCH(COUNTIF(P8:AB8,PIV!A$16),ETAPP!A$1:A$32,0))&amp;INDEX(ETAPP!B$1:B$32,MATCH(COUNTIF(P8:AB8,PIV!A$17),ETAPP!A$1:A$32,0))&amp;INDEX(ETAPP!B$1:B$32,MATCH(COUNTIF(P8:AB8,PIV!A$18),ETAPP!A$1:A$32,0))&amp;INDEX(ETAPP!B$1:B$32,MATCH(COUNTIF(P8:AB8,PIV!A$19),ETAPP!A$1:A$32,0))</f>
        <v>BCBB00A0A000000000B</v>
      </c>
      <c r="K8" s="233" t="str">
        <f t="shared" ref="K8:K39" ca="1" si="5">TEXT(I8,"000,0")&amp;"-"&amp;J8</f>
        <v>294,0-BCBB00A0A000000000B</v>
      </c>
      <c r="L8" s="234">
        <f t="shared" ref="L8:L39" ca="1" si="6">COUNTIF(K$8:K$62,"&gt;="&amp;K8)</f>
        <v>1</v>
      </c>
      <c r="M8" s="234">
        <f t="shared" ref="M8:M39" si="7">COUNTIF(F$8:F$62,"&gt;="&amp;F8)</f>
        <v>23</v>
      </c>
      <c r="N8" s="233" t="str">
        <f t="shared" ref="N8:N39" ca="1" si="8">TEXT(I8,"000,0")&amp;"-"&amp;J8&amp;"-"&amp;TEXT(M8,"000")</f>
        <v>294,0-BCBB00A0A000000000B-023</v>
      </c>
      <c r="O8" s="235">
        <f t="shared" ref="O8:O39" ca="1" si="9">COUNTIF(N$8:N$62,"&lt;="&amp;N8)</f>
        <v>55</v>
      </c>
      <c r="P8" s="236">
        <f>IFERROR(INDEX('1'!C$300:C$400,MATCH("*"&amp;F8&amp;"*",'1'!B$300:B$400,0)),"  ")</f>
        <v>40</v>
      </c>
      <c r="Q8" s="237">
        <f>IFERROR(INDEX('2'!C$300:C$400,MATCH("*"&amp;F8&amp;"*",'2'!B$300:B$400,0)),"  ")</f>
        <v>30</v>
      </c>
      <c r="R8" s="237">
        <f>IFERROR(INDEX('3'!C$300:C$400,MATCH("*"&amp;F8&amp;"*",'3'!B$300:B$400,0)),"  ")</f>
        <v>26</v>
      </c>
      <c r="S8" s="237">
        <f>IFERROR(INDEX('4'!C$300:C$400,MATCH("*"&amp;F8&amp;"*",'4'!B$300:B$400,0)),"  ")</f>
        <v>40</v>
      </c>
      <c r="T8" s="237">
        <f>IFERROR(INDEX('5'!C$300:C$400,MATCH("*"&amp;F8&amp;"*",'5'!B$300:B$400,0)),"  ")</f>
        <v>20</v>
      </c>
      <c r="U8" s="237">
        <f>IFERROR(INDEX('6'!C$300:C$400,MATCH("*"&amp;F8&amp;"*",'6'!B$300:B$400,0)),"  ")</f>
        <v>30</v>
      </c>
      <c r="V8" s="237">
        <f>IFERROR(INDEX('7'!C$300:C$400,MATCH("*"&amp;F8&amp;"*",'7'!B$300:B$400,0)),"  ")</f>
        <v>34</v>
      </c>
      <c r="W8" s="237" t="str">
        <f ca="1">IFERROR(INDEX('8'!C$300:C$400,MATCH("*"&amp;F8&amp;"*",'8'!B$300:B$400,0)),"  ")</f>
        <v xml:space="preserve">  </v>
      </c>
      <c r="X8" s="237">
        <f>IFERROR(INDEX('9'!C$300:C$400,MATCH("*"&amp;F8&amp;"*",'9'!B$300:B$400,0)),"  ")</f>
        <v>26</v>
      </c>
      <c r="Y8" s="237" t="str">
        <f>IFERROR(INDEX('10'!C$300:C$400,MATCH("*"&amp;F8&amp;"*",'10'!B$300:B$400,0)),"  ")</f>
        <v xml:space="preserve">  </v>
      </c>
      <c r="Z8" s="236">
        <f>IFERROR(INDEX('11'!C$300:C$400,MATCH("*"&amp;F8&amp;"*",'11'!B$300:B$400,0)),"  ")</f>
        <v>34</v>
      </c>
      <c r="AA8" s="237">
        <f>IFERROR(INDEX('12'!C$300:C$400,MATCH("*"&amp;F8&amp;"*",'12'!B$300:B$400,0)),"  ")</f>
        <v>34</v>
      </c>
      <c r="AB8" s="237">
        <f>IFERROR(INDEX('13'!C$300:C$400,MATCH("*"&amp;F8&amp;"*",'13'!B$300:B$400,0)),"  ")</f>
        <v>16</v>
      </c>
      <c r="AC8" s="239">
        <f t="shared" ref="AC8:AC39" ca="1" si="10">COUNTIF(P8:AB8,"&gt;=0")</f>
        <v>11</v>
      </c>
      <c r="AD8" s="239">
        <f t="shared" ref="AD8:AD39" ca="1" si="11">COUNTIF(P8:AB8,"&gt;=30")</f>
        <v>7</v>
      </c>
      <c r="AE8" s="239">
        <f t="shared" ref="AE8:AE39" ca="1" si="12">COUNTIF(P8:AB8,"=40")</f>
        <v>2</v>
      </c>
      <c r="AF8" s="240">
        <f t="shared" ref="AF8:AF39" si="13">MIN(IF($P8="  ",FALSE,$P8)+$P$7/10000,IF($R8="  ",FALSE,$R8)+$R$7/10000,IF($Y8="  ",FALSE,$Y8)+$Y$7/10000,IF($AA8="  ",FALSE,$AA8)+$AA$7/10000)</f>
        <v>1E-3</v>
      </c>
      <c r="AG8" s="240">
        <f t="shared" ref="AG8:AG39" si="14">MIN(IF($Q8="  ",FALSE,$Q8)+$Q$7/10000,IF($S8="  ",FALSE,$S8)+$S$7/10000,IF($T8="  ",FALSE,$T8)+$T$7/10000,IF($X8="  ",FALSE,$X8)+$X$7/10000)</f>
        <v>20.000499999999999</v>
      </c>
      <c r="AH8" s="240">
        <f t="shared" ref="AH8:AH39" ca="1" si="15">MIN(IF($U8="  ",FALSE,$U8)+$U$7/10000,IF($V8="  ",FALSE,$V8)+$V$7/10000,IF($W8="  ",FALSE,$W8)+$W$7/10000,IF($Z8="  ",FALSE,$Z8)+$Z$7/10000,IF($AB8="  ",FALSE,$AB8)+$AB$7/10000)</f>
        <v>8.0000000000000004E-4</v>
      </c>
      <c r="AI8" s="240">
        <f t="shared" ref="AI8:AI39" ca="1" si="16">MIN(IF((IF($U8="  ",FALSE,$U8)+$U$7/10000)=AH8,333,IF($U8="  ",FALSE,$U8)+$U$7/10000),IF((IF($V8="  ",FALSE,$V8)+$V$7/10000)=AH8,333,IF($V8=" ",FALSE,$V8)+$V$7/10000),IF((IF($W8="  ",FALSE,$W8)+$W$7/10000)=AH8,333,IF($W8="  ",FALSE,$W8)+$W$7/10000),IF((IF($Z8="  ",FALSE,$Z8)+$Z$7/10000)=AH8,333,IF($Z8="  ",FALSE,$Z8)+$Z$7/10000),IF((IF($AB8="  ",FALSE,$AB8)+$AB$7/10000)=AH8,333,IF($AB8="  ",FALSE,$AB8)+$AB$7/10000))</f>
        <v>16.001300000000001</v>
      </c>
      <c r="AJ8" s="171"/>
    </row>
    <row r="9" spans="1:36" x14ac:dyDescent="0.2">
      <c r="A9" s="225" t="str">
        <f t="shared" si="0"/>
        <v/>
      </c>
      <c r="B9" s="226" t="str">
        <f t="shared" si="1"/>
        <v/>
      </c>
      <c r="C9" s="227" t="str">
        <f t="shared" si="2"/>
        <v/>
      </c>
      <c r="D9" s="228" t="str">
        <f t="shared" si="3"/>
        <v/>
      </c>
      <c r="E9" s="229">
        <f t="shared" ca="1" si="4"/>
        <v>2</v>
      </c>
      <c r="F9" s="191" t="s">
        <v>105</v>
      </c>
      <c r="G9" s="211"/>
      <c r="H9" s="241"/>
      <c r="I9" s="232">
        <f t="array" aca="1" ref="I9" ca="1">(IF(COUNT(P9,R9,Y9,AA9)&lt;3,SUM(P9,R9,Y9,AA9),SUM(LARGE((P9,R9,Y9,AA9),{1;2;3}))))+(IF(COUNT(Q9,S9,T9,X9)&lt;3,SUM(Q9,S9,T9,X9),SUM(LARGE((Q9,S9,T9,X9),{1;2;3}))))+(IF(COUNT(U9,V9,W9,Z9,AB9)&lt;3,SUM(U9,V9,W9,Z9,AB9),SUM(LARGE((U9,V9,W9,Z9,AB9),{1;2;3}))))</f>
        <v>292</v>
      </c>
      <c r="J9" s="233" t="str">
        <f ca="1">INDEX(ETAPP!B$1:B$32,MATCH(COUNTIF(P9:AB9,PIV!A$1),ETAPP!A$1:A$32,0))&amp;INDEX(ETAPP!B$1:B$32,MATCH(COUNTIF(P9:AB9,PIV!A$2),ETAPP!A$1:A$32,0))&amp;INDEX(ETAPP!B$1:B$32,MATCH(COUNTIF(P9:AB9,PIV!A$3),ETAPP!A$1:A$32,0))&amp;INDEX(ETAPP!B$1:B$32,MATCH(COUNTIF(P9:AB9,PIV!A$4),ETAPP!A$1:A$32,0))&amp;INDEX(ETAPP!B$1:B$32,MATCH(COUNTIF(P9:AB9,PIV!A$5),ETAPP!A$1:A$32,0))&amp;INDEX(ETAPP!B$1:B$32,MATCH(COUNTIF(P9:AB9,PIV!A$6),ETAPP!A$1:A$32,0))&amp;INDEX(ETAPP!B$1:B$32,MATCH(COUNTIF(P9:AB9,PIV!A$7),ETAPP!A$1:A$32,0))&amp;INDEX(ETAPP!B$1:B$32,MATCH(COUNTIF(P9:AB9,PIV!A$8),ETAPP!A$1:A$32,0))&amp;INDEX(ETAPP!B$1:B$32,MATCH(COUNTIF(P9:AB9,PIV!A$9),ETAPP!A$1:A$32,0))&amp;INDEX(ETAPP!B$1:B$32,MATCH(COUNTIF(P9:AB9,PIV!A$10),ETAPP!A$1:A$32,0))&amp;INDEX(ETAPP!B$1:B$32,MATCH(COUNTIF(P9:AB9,PIV!A$11),ETAPP!A$1:A$32,0))&amp;INDEX(ETAPP!B$1:B$32,MATCH(COUNTIF(P9:AB9,PIV!A$12),ETAPP!A$1:A$32,0))&amp;INDEX(ETAPP!B$1:B$32,MATCH(COUNTIF(P9:AB9,PIV!A$13),ETAPP!A$1:A$32,0))&amp;INDEX(ETAPP!B$1:B$32,MATCH(COUNTIF(P9:AB9,PIV!A$14),ETAPP!A$1:A$32,0))&amp;INDEX(ETAPP!B$1:B$32,MATCH(COUNTIF(P9:AB9,PIV!A$15),ETAPP!A$1:A$32,0))&amp;INDEX(ETAPP!B$1:B$32,MATCH(COUNTIF(P9:AB9,PIV!A$16),ETAPP!A$1:A$32,0))&amp;INDEX(ETAPP!B$1:B$32,MATCH(COUNTIF(P9:AB9,PIV!A$17),ETAPP!A$1:A$32,0))&amp;INDEX(ETAPP!B$1:B$32,MATCH(COUNTIF(P9:AB9,PIV!A$18),ETAPP!A$1:A$32,0))&amp;INDEX(ETAPP!B$1:B$32,MATCH(COUNTIF(P9:AB9,PIV!A$19),ETAPP!A$1:A$32,0))</f>
        <v>AF00C000000A000A00A</v>
      </c>
      <c r="K9" s="233" t="str">
        <f t="shared" ca="1" si="5"/>
        <v>292,0-AF00C000000A000A00A</v>
      </c>
      <c r="L9" s="234">
        <f t="shared" ca="1" si="6"/>
        <v>2</v>
      </c>
      <c r="M9" s="234">
        <f t="shared" si="7"/>
        <v>17</v>
      </c>
      <c r="N9" s="233" t="str">
        <f t="shared" ca="1" si="8"/>
        <v>292,0-AF00C000000A000A00A-017</v>
      </c>
      <c r="O9" s="235">
        <f t="shared" ca="1" si="9"/>
        <v>54</v>
      </c>
      <c r="P9" s="236">
        <f>IFERROR(INDEX('1'!C$300:C$400,MATCH("*"&amp;F9&amp;"*",'1'!B$300:B$400,0)),"  ")</f>
        <v>40</v>
      </c>
      <c r="Q9" s="237">
        <f>IFERROR(INDEX('2'!C$300:C$400,MATCH("*"&amp;F9&amp;"*",'2'!B$300:B$400,0)),"  ")</f>
        <v>34</v>
      </c>
      <c r="R9" s="237">
        <f>IFERROR(INDEX('3'!C$300:C$400,MATCH("*"&amp;F9&amp;"*",'3'!B$300:B$400,0)),"  ")</f>
        <v>34</v>
      </c>
      <c r="S9" s="237">
        <f>IFERROR(INDEX('4'!C$300:C$400,MATCH("*"&amp;F9&amp;"*",'4'!B$300:B$400,0)),"  ")</f>
        <v>34</v>
      </c>
      <c r="T9" s="237">
        <f>IFERROR(INDEX('5'!C$300:C$400,MATCH("*"&amp;F9&amp;"*",'5'!B$300:B$400,0)),"  ")</f>
        <v>24</v>
      </c>
      <c r="U9" s="237">
        <f>IFERROR(INDEX('6'!C$300:C$400,MATCH("*"&amp;F9&amp;"*",'6'!B$300:B$400,0)),"  ")</f>
        <v>2</v>
      </c>
      <c r="V9" s="237">
        <f>IFERROR(INDEX('7'!C$300:C$400,MATCH("*"&amp;F9&amp;"*",'7'!B$300:B$400,0)),"  ")</f>
        <v>24</v>
      </c>
      <c r="W9" s="237">
        <f ca="1">IFERROR(INDEX('8'!C$300:C$400,MATCH("*"&amp;F9&amp;"*",'8'!B$300:B$400,0)),"  ")</f>
        <v>34</v>
      </c>
      <c r="X9" s="237">
        <f>IFERROR(INDEX('9'!C$300:C$400,MATCH("*"&amp;F9&amp;"*",'9'!B$300:B$400,0)),"  ")</f>
        <v>24</v>
      </c>
      <c r="Y9" s="237" t="str">
        <f>IFERROR(INDEX('10'!C$300:C$400,MATCH("*"&amp;F9&amp;"*",'10'!B$300:B$400,0)),"  ")</f>
        <v xml:space="preserve">  </v>
      </c>
      <c r="Z9" s="236">
        <f>IFERROR(INDEX('11'!C$300:C$400,MATCH("*"&amp;F9&amp;"*",'11'!B$300:B$400,0)),"  ")</f>
        <v>10</v>
      </c>
      <c r="AA9" s="237">
        <f>IFERROR(INDEX('12'!C$300:C$400,MATCH("*"&amp;F9&amp;"*",'12'!B$300:B$400,0)),"  ")</f>
        <v>34</v>
      </c>
      <c r="AB9" s="237">
        <f>IFERROR(INDEX('13'!C$300:C$400,MATCH("*"&amp;F9&amp;"*",'13'!B$300:B$400,0)),"  ")</f>
        <v>34</v>
      </c>
      <c r="AC9" s="239">
        <f t="shared" ca="1" si="10"/>
        <v>12</v>
      </c>
      <c r="AD9" s="239">
        <f t="shared" ca="1" si="11"/>
        <v>7</v>
      </c>
      <c r="AE9" s="239">
        <f t="shared" ca="1" si="12"/>
        <v>1</v>
      </c>
      <c r="AF9" s="240">
        <f t="shared" si="13"/>
        <v>1E-3</v>
      </c>
      <c r="AG9" s="240">
        <f t="shared" si="14"/>
        <v>24.000499999999999</v>
      </c>
      <c r="AH9" s="240">
        <f t="shared" ca="1" si="15"/>
        <v>2.0005999999999999</v>
      </c>
      <c r="AI9" s="240">
        <f t="shared" ca="1" si="16"/>
        <v>10.001099999999999</v>
      </c>
      <c r="AJ9" s="171"/>
    </row>
    <row r="10" spans="1:36" x14ac:dyDescent="0.2">
      <c r="A10" s="225" t="str">
        <f t="shared" si="0"/>
        <v/>
      </c>
      <c r="B10" s="226" t="str">
        <f t="shared" si="1"/>
        <v/>
      </c>
      <c r="C10" s="227">
        <f t="shared" ca="1" si="2"/>
        <v>1</v>
      </c>
      <c r="D10" s="228">
        <f t="shared" ca="1" si="3"/>
        <v>3</v>
      </c>
      <c r="E10" s="229">
        <f t="shared" ca="1" si="4"/>
        <v>3</v>
      </c>
      <c r="F10" s="191" t="s">
        <v>124</v>
      </c>
      <c r="G10" s="230"/>
      <c r="H10" s="250" t="s">
        <v>125</v>
      </c>
      <c r="I10" s="232">
        <f t="array" aca="1" ref="I10" ca="1">(IF(COUNT(P10,R10,Y10,AA10)&lt;3,SUM(P10,R10,Y10,AA10),SUM(LARGE((P10,R10,Y10,AA10),{1;2;3}))))+(IF(COUNT(Q10,S10,T10,X10)&lt;3,SUM(Q10,S10,T10,X10),SUM(LARGE((Q10,S10,T10,X10),{1;2;3}))))+(IF(COUNT(U10,V10,W10,Z10,AB10)&lt;3,SUM(U10,V10,W10,Z10,AB10),SUM(LARGE((U10,V10,W10,Z10,AB10),{1;2;3}))))</f>
        <v>286</v>
      </c>
      <c r="J10" s="233" t="str">
        <f ca="1">INDEX(ETAPP!B$1:B$32,MATCH(COUNTIF(P10:AB10,PIV!A$1),ETAPP!A$1:A$32,0))&amp;INDEX(ETAPP!B$1:B$32,MATCH(COUNTIF(P10:AB10,PIV!A$2),ETAPP!A$1:A$32,0))&amp;INDEX(ETAPP!B$1:B$32,MATCH(COUNTIF(P10:AB10,PIV!A$3),ETAPP!A$1:A$32,0))&amp;INDEX(ETAPP!B$1:B$32,MATCH(COUNTIF(P10:AB10,PIV!A$4),ETAPP!A$1:A$32,0))&amp;INDEX(ETAPP!B$1:B$32,MATCH(COUNTIF(P10:AB10,PIV!A$5),ETAPP!A$1:A$32,0))&amp;INDEX(ETAPP!B$1:B$32,MATCH(COUNTIF(P10:AB10,PIV!A$6),ETAPP!A$1:A$32,0))&amp;INDEX(ETAPP!B$1:B$32,MATCH(COUNTIF(P10:AB10,PIV!A$7),ETAPP!A$1:A$32,0))&amp;INDEX(ETAPP!B$1:B$32,MATCH(COUNTIF(P10:AB10,PIV!A$8),ETAPP!A$1:A$32,0))&amp;INDEX(ETAPP!B$1:B$32,MATCH(COUNTIF(P10:AB10,PIV!A$9),ETAPP!A$1:A$32,0))&amp;INDEX(ETAPP!B$1:B$32,MATCH(COUNTIF(P10:AB10,PIV!A$10),ETAPP!A$1:A$32,0))&amp;INDEX(ETAPP!B$1:B$32,MATCH(COUNTIF(P10:AB10,PIV!A$11),ETAPP!A$1:A$32,0))&amp;INDEX(ETAPP!B$1:B$32,MATCH(COUNTIF(P10:AB10,PIV!A$12),ETAPP!A$1:A$32,0))&amp;INDEX(ETAPP!B$1:B$32,MATCH(COUNTIF(P10:AB10,PIV!A$13),ETAPP!A$1:A$32,0))&amp;INDEX(ETAPP!B$1:B$32,MATCH(COUNTIF(P10:AB10,PIV!A$14),ETAPP!A$1:A$32,0))&amp;INDEX(ETAPP!B$1:B$32,MATCH(COUNTIF(P10:AB10,PIV!A$15),ETAPP!A$1:A$32,0))&amp;INDEX(ETAPP!B$1:B$32,MATCH(COUNTIF(P10:AB10,PIV!A$16),ETAPP!A$1:A$32,0))&amp;INDEX(ETAPP!B$1:B$32,MATCH(COUNTIF(P10:AB10,PIV!A$17),ETAPP!A$1:A$32,0))&amp;INDEX(ETAPP!B$1:B$32,MATCH(COUNTIF(P10:AB10,PIV!A$18),ETAPP!A$1:A$32,0))&amp;INDEX(ETAPP!B$1:B$32,MATCH(COUNTIF(P10:AB10,PIV!A$19),ETAPP!A$1:A$32,0))</f>
        <v>CABCA00000000A0000B</v>
      </c>
      <c r="K10" s="233" t="str">
        <f t="shared" ca="1" si="5"/>
        <v>286,0-CABCA00000000A0000B</v>
      </c>
      <c r="L10" s="234">
        <f t="shared" ca="1" si="6"/>
        <v>3</v>
      </c>
      <c r="M10" s="234">
        <f t="shared" si="7"/>
        <v>43</v>
      </c>
      <c r="N10" s="233" t="str">
        <f t="shared" ca="1" si="8"/>
        <v>286,0-CABCA00000000A0000B-043</v>
      </c>
      <c r="O10" s="235">
        <f t="shared" ca="1" si="9"/>
        <v>53</v>
      </c>
      <c r="P10" s="236">
        <f>IFERROR(INDEX('1'!C$300:C$400,MATCH("*"&amp;F10&amp;"*",'1'!B$300:B$400,0)),"  ")</f>
        <v>26</v>
      </c>
      <c r="Q10" s="237">
        <f>IFERROR(INDEX('2'!C$300:C$400,MATCH("*"&amp;F10&amp;"*",'2'!B$300:B$400,0)),"  ")</f>
        <v>40</v>
      </c>
      <c r="R10" s="237">
        <f>IFERROR(INDEX('3'!C$300:C$400,MATCH("*"&amp;F10&amp;"*",'3'!B$300:B$400,0)),"  ")</f>
        <v>34</v>
      </c>
      <c r="S10" s="237">
        <f>IFERROR(INDEX('4'!C$300:C$400,MATCH("*"&amp;F10&amp;"*",'4'!B$300:B$400,0)),"  ")</f>
        <v>30</v>
      </c>
      <c r="T10" s="237">
        <f>IFERROR(INDEX('5'!C$300:C$400,MATCH("*"&amp;F10&amp;"*",'5'!B$300:B$400,0)),"  ")</f>
        <v>30</v>
      </c>
      <c r="U10" s="237">
        <f>IFERROR(INDEX('6'!C$300:C$400,MATCH("*"&amp;F10&amp;"*",'6'!B$300:B$400,0)),"  ")</f>
        <v>6</v>
      </c>
      <c r="V10" s="237">
        <f>IFERROR(INDEX('7'!C$300:C$400,MATCH("*"&amp;F10&amp;"*",'7'!B$300:B$400,0)),"  ")</f>
        <v>26</v>
      </c>
      <c r="W10" s="237">
        <f ca="1">IFERROR(INDEX('8'!C$300:C$400,MATCH("*"&amp;F10&amp;"*",'8'!B$300:B$400,0)),"  ")</f>
        <v>40</v>
      </c>
      <c r="X10" s="237">
        <f>IFERROR(INDEX('9'!C$300:C$400,MATCH("*"&amp;F10&amp;"*",'9'!B$300:B$400,0)),"  ")</f>
        <v>40</v>
      </c>
      <c r="Y10" s="237">
        <f>IFERROR(INDEX('10'!C$300:C$400,MATCH("*"&amp;F10&amp;"*",'10'!B$300:B$400,0)),"  ")</f>
        <v>24</v>
      </c>
      <c r="Z10" s="236" t="str">
        <f>IFERROR(INDEX('11'!C$300:C$400,MATCH("*"&amp;F10&amp;"*",'11'!B$300:B$400,0)),"  ")</f>
        <v xml:space="preserve">  </v>
      </c>
      <c r="AA10" s="237" t="str">
        <f>IFERROR(INDEX('12'!C$300:C$400,MATCH("*"&amp;F10&amp;"*",'12'!B$300:B$400,0)),"  ")</f>
        <v xml:space="preserve">  </v>
      </c>
      <c r="AB10" s="237">
        <f>IFERROR(INDEX('13'!C$300:C$400,MATCH("*"&amp;F10&amp;"*",'13'!B$300:B$400,0)),"  ")</f>
        <v>26</v>
      </c>
      <c r="AC10" s="239">
        <f t="shared" ca="1" si="10"/>
        <v>11</v>
      </c>
      <c r="AD10" s="239">
        <f t="shared" ca="1" si="11"/>
        <v>6</v>
      </c>
      <c r="AE10" s="239">
        <f t="shared" ca="1" si="12"/>
        <v>3</v>
      </c>
      <c r="AF10" s="240">
        <f t="shared" si="13"/>
        <v>1.1999999999999999E-3</v>
      </c>
      <c r="AG10" s="240">
        <f t="shared" si="14"/>
        <v>30.000399999999999</v>
      </c>
      <c r="AH10" s="240">
        <f t="shared" ca="1" si="15"/>
        <v>1.1000000000000001E-3</v>
      </c>
      <c r="AI10" s="240">
        <f t="shared" ca="1" si="16"/>
        <v>6.0006000000000004</v>
      </c>
      <c r="AJ10" s="251"/>
    </row>
    <row r="11" spans="1:36" x14ac:dyDescent="0.2">
      <c r="A11" s="225" t="str">
        <f t="shared" si="0"/>
        <v/>
      </c>
      <c r="B11" s="226" t="str">
        <f t="shared" si="1"/>
        <v/>
      </c>
      <c r="C11" s="227" t="str">
        <f t="shared" si="2"/>
        <v/>
      </c>
      <c r="D11" s="228" t="str">
        <f t="shared" si="3"/>
        <v/>
      </c>
      <c r="E11" s="229">
        <f t="shared" ca="1" si="4"/>
        <v>4</v>
      </c>
      <c r="F11" s="244" t="s">
        <v>110</v>
      </c>
      <c r="G11" s="230"/>
      <c r="H11" s="231"/>
      <c r="I11" s="232">
        <f t="array" aca="1" ref="I11" ca="1">(IF(COUNT(P11,R11,Y11,AA11)&lt;3,SUM(P11,R11,Y11,AA11),SUM(LARGE((P11,R11,Y11,AA11),{1;2;3}))))+(IF(COUNT(Q11,S11,T11,X11)&lt;3,SUM(Q11,S11,T11,X11),SUM(LARGE((Q11,S11,T11,X11),{1;2;3}))))+(IF(COUNT(U11,V11,W11,Z11,AB11)&lt;3,SUM(U11,V11,W11,Z11,AB11),SUM(LARGE((U11,V11,W11,Z11,AB11),{1;2;3}))))</f>
        <v>273</v>
      </c>
      <c r="J11" s="233" t="str">
        <f ca="1">INDEX(ETAPP!B$1:B$32,MATCH(COUNTIF(P11:AB11,PIV!A$1),ETAPP!A$1:A$32,0))&amp;INDEX(ETAPP!B$1:B$32,MATCH(COUNTIF(P11:AB11,PIV!A$2),ETAPP!A$1:A$32,0))&amp;INDEX(ETAPP!B$1:B$32,MATCH(COUNTIF(P11:AB11,PIV!A$3),ETAPP!A$1:A$32,0))&amp;INDEX(ETAPP!B$1:B$32,MATCH(COUNTIF(P11:AB11,PIV!A$4),ETAPP!A$1:A$32,0))&amp;INDEX(ETAPP!B$1:B$32,MATCH(COUNTIF(P11:AB11,PIV!A$5),ETAPP!A$1:A$32,0))&amp;INDEX(ETAPP!B$1:B$32,MATCH(COUNTIF(P11:AB11,PIV!A$6),ETAPP!A$1:A$32,0))&amp;INDEX(ETAPP!B$1:B$32,MATCH(COUNTIF(P11:AB11,PIV!A$7),ETAPP!A$1:A$32,0))&amp;INDEX(ETAPP!B$1:B$32,MATCH(COUNTIF(P11:AB11,PIV!A$8),ETAPP!A$1:A$32,0))&amp;INDEX(ETAPP!B$1:B$32,MATCH(COUNTIF(P11:AB11,PIV!A$9),ETAPP!A$1:A$32,0))&amp;INDEX(ETAPP!B$1:B$32,MATCH(COUNTIF(P11:AB11,PIV!A$10),ETAPP!A$1:A$32,0))&amp;INDEX(ETAPP!B$1:B$32,MATCH(COUNTIF(P11:AB11,PIV!A$11),ETAPP!A$1:A$32,0))&amp;INDEX(ETAPP!B$1:B$32,MATCH(COUNTIF(P11:AB11,PIV!A$12),ETAPP!A$1:A$32,0))&amp;INDEX(ETAPP!B$1:B$32,MATCH(COUNTIF(P11:AB11,PIV!A$13),ETAPP!A$1:A$32,0))&amp;INDEX(ETAPP!B$1:B$32,MATCH(COUNTIF(P11:AB11,PIV!A$14),ETAPP!A$1:A$32,0))&amp;INDEX(ETAPP!B$1:B$32,MATCH(COUNTIF(P11:AB11,PIV!A$15),ETAPP!A$1:A$32,0))&amp;INDEX(ETAPP!B$1:B$32,MATCH(COUNTIF(P11:AB11,PIV!A$16),ETAPP!A$1:A$32,0))&amp;INDEX(ETAPP!B$1:B$32,MATCH(COUNTIF(P11:AB11,PIV!A$17),ETAPP!A$1:A$32,0))&amp;INDEX(ETAPP!B$1:B$32,MATCH(COUNTIF(P11:AB11,PIV!A$18),ETAPP!A$1:A$32,0))&amp;INDEX(ETAPP!B$1:B$32,MATCH(COUNTIF(P11:AB11,PIV!A$19),ETAPP!A$1:A$32,0))</f>
        <v>DAA0C0000000A000A0B</v>
      </c>
      <c r="K11" s="233" t="str">
        <f t="shared" ca="1" si="5"/>
        <v>273,0-DAA0C0000000A000A0B</v>
      </c>
      <c r="L11" s="234">
        <f t="shared" ca="1" si="6"/>
        <v>4</v>
      </c>
      <c r="M11" s="234">
        <f t="shared" si="7"/>
        <v>31</v>
      </c>
      <c r="N11" s="233" t="str">
        <f t="shared" ca="1" si="8"/>
        <v>273,0-DAA0C0000000A000A0B-031</v>
      </c>
      <c r="O11" s="235">
        <f t="shared" ca="1" si="9"/>
        <v>52</v>
      </c>
      <c r="P11" s="236">
        <f>IFERROR(INDEX('1'!C$300:C$400,MATCH("*"&amp;F11&amp;"*",'1'!B$300:B$400,0)),"  ")</f>
        <v>24</v>
      </c>
      <c r="Q11" s="237">
        <f>IFERROR(INDEX('2'!C$300:C$400,MATCH("*"&amp;F11&amp;"*",'2'!B$300:B$400,0)),"  ")</f>
        <v>40</v>
      </c>
      <c r="R11" s="237">
        <f>IFERROR(INDEX('3'!C$300:C$400,MATCH("*"&amp;F11&amp;"*",'3'!B$300:B$400,0)),"  ")</f>
        <v>30</v>
      </c>
      <c r="S11" s="237">
        <f>IFERROR(INDEX('4'!C$300:C$400,MATCH("*"&amp;F11&amp;"*",'4'!B$300:B$400,0)),"  ")</f>
        <v>8</v>
      </c>
      <c r="T11" s="237">
        <f>IFERROR(INDEX('5'!C$300:C$400,MATCH("*"&amp;F11&amp;"*",'5'!B$300:B$400,0)),"  ")</f>
        <v>40</v>
      </c>
      <c r="U11" s="237" t="str">
        <f>IFERROR(INDEX('6'!C$300:C$400,MATCH("*"&amp;F11&amp;"*",'6'!B$300:B$400,0)),"  ")</f>
        <v xml:space="preserve">  </v>
      </c>
      <c r="V11" s="237">
        <f>IFERROR(INDEX('7'!C$300:C$400,MATCH("*"&amp;F11&amp;"*",'7'!B$300:B$400,0)),"  ")</f>
        <v>40</v>
      </c>
      <c r="W11" s="237" t="str">
        <f ca="1">IFERROR(INDEX('8'!C$300:C$400,MATCH("*"&amp;F11&amp;"*",'8'!B$300:B$400,0)),"  ")</f>
        <v xml:space="preserve">  </v>
      </c>
      <c r="X11" s="237">
        <f>IFERROR(INDEX('9'!C$300:C$400,MATCH("*"&amp;F11&amp;"*",'9'!B$300:B$400,0)),"  ")</f>
        <v>34</v>
      </c>
      <c r="Y11" s="237">
        <f>IFERROR(INDEX('10'!C$300:C$400,MATCH("*"&amp;F11&amp;"*",'10'!B$300:B$400,0)),"  ")</f>
        <v>24</v>
      </c>
      <c r="Z11" s="236">
        <f>IFERROR(INDEX('11'!C$300:C$400,MATCH("*"&amp;F11&amp;"*",'11'!B$300:B$400,0)),"  ")</f>
        <v>40</v>
      </c>
      <c r="AA11" s="237">
        <f>IFERROR(INDEX('12'!C$300:C$400,MATCH("*"&amp;F11&amp;"*",'12'!B$300:B$400,0)),"  ")</f>
        <v>24</v>
      </c>
      <c r="AB11" s="237">
        <f>IFERROR(INDEX('13'!C$300:C$400,MATCH("*"&amp;F11&amp;"*",'13'!B$300:B$400,0)),"  ")</f>
        <v>1</v>
      </c>
      <c r="AC11" s="239">
        <f t="shared" ca="1" si="10"/>
        <v>11</v>
      </c>
      <c r="AD11" s="239">
        <f t="shared" ca="1" si="11"/>
        <v>6</v>
      </c>
      <c r="AE11" s="239">
        <f t="shared" ca="1" si="12"/>
        <v>4</v>
      </c>
      <c r="AF11" s="240">
        <f t="shared" si="13"/>
        <v>24.0001</v>
      </c>
      <c r="AG11" s="240">
        <f t="shared" si="14"/>
        <v>8.0004000000000008</v>
      </c>
      <c r="AH11" s="240">
        <f t="shared" ca="1" si="15"/>
        <v>5.9999999999999995E-4</v>
      </c>
      <c r="AI11" s="240">
        <f t="shared" ca="1" si="16"/>
        <v>8.0000000000000004E-4</v>
      </c>
      <c r="AJ11" s="171"/>
    </row>
    <row r="12" spans="1:36" x14ac:dyDescent="0.2">
      <c r="A12" s="225" t="str">
        <f t="shared" si="0"/>
        <v/>
      </c>
      <c r="B12" s="226" t="str">
        <f t="shared" si="1"/>
        <v/>
      </c>
      <c r="C12" s="227" t="str">
        <f t="shared" si="2"/>
        <v/>
      </c>
      <c r="D12" s="228" t="str">
        <f t="shared" si="3"/>
        <v/>
      </c>
      <c r="E12" s="229">
        <f t="shared" ca="1" si="4"/>
        <v>5</v>
      </c>
      <c r="F12" s="245" t="s">
        <v>12</v>
      </c>
      <c r="G12" s="230"/>
      <c r="H12" s="231"/>
      <c r="I12" s="232">
        <f t="array" aca="1" ref="I12" ca="1">(IF(COUNT(P12,R12,Y12,AA12)&lt;3,SUM(P12,R12,Y12,AA12),SUM(LARGE((P12,R12,Y12,AA12),{1;2;3}))))+(IF(COUNT(Q12,S12,T12,X12)&lt;3,SUM(Q12,S12,T12,X12),SUM(LARGE((Q12,S12,T12,X12),{1;2;3}))))+(IF(COUNT(U12,V12,W12,Z12,AB12)&lt;3,SUM(U12,V12,W12,Z12,AB12),SUM(LARGE((U12,V12,W12,Z12,AB12),{1;2;3}))))</f>
        <v>272</v>
      </c>
      <c r="J12" s="233" t="str">
        <f ca="1">INDEX(ETAPP!B$1:B$32,MATCH(COUNTIF(P12:AB12,PIV!A$1),ETAPP!A$1:A$32,0))&amp;INDEX(ETAPP!B$1:B$32,MATCH(COUNTIF(P12:AB12,PIV!A$2),ETAPP!A$1:A$32,0))&amp;INDEX(ETAPP!B$1:B$32,MATCH(COUNTIF(P12:AB12,PIV!A$3),ETAPP!A$1:A$32,0))&amp;INDEX(ETAPP!B$1:B$32,MATCH(COUNTIF(P12:AB12,PIV!A$4),ETAPP!A$1:A$32,0))&amp;INDEX(ETAPP!B$1:B$32,MATCH(COUNTIF(P12:AB12,PIV!A$5),ETAPP!A$1:A$32,0))&amp;INDEX(ETAPP!B$1:B$32,MATCH(COUNTIF(P12:AB12,PIV!A$6),ETAPP!A$1:A$32,0))&amp;INDEX(ETAPP!B$1:B$32,MATCH(COUNTIF(P12:AB12,PIV!A$7),ETAPP!A$1:A$32,0))&amp;INDEX(ETAPP!B$1:B$32,MATCH(COUNTIF(P12:AB12,PIV!A$8),ETAPP!A$1:A$32,0))&amp;INDEX(ETAPP!B$1:B$32,MATCH(COUNTIF(P12:AB12,PIV!A$9),ETAPP!A$1:A$32,0))&amp;INDEX(ETAPP!B$1:B$32,MATCH(COUNTIF(P12:AB12,PIV!A$10),ETAPP!A$1:A$32,0))&amp;INDEX(ETAPP!B$1:B$32,MATCH(COUNTIF(P12:AB12,PIV!A$11),ETAPP!A$1:A$32,0))&amp;INDEX(ETAPP!B$1:B$32,MATCH(COUNTIF(P12:AB12,PIV!A$12),ETAPP!A$1:A$32,0))&amp;INDEX(ETAPP!B$1:B$32,MATCH(COUNTIF(P12:AB12,PIV!A$13),ETAPP!A$1:A$32,0))&amp;INDEX(ETAPP!B$1:B$32,MATCH(COUNTIF(P12:AB12,PIV!A$14),ETAPP!A$1:A$32,0))&amp;INDEX(ETAPP!B$1:B$32,MATCH(COUNTIF(P12:AB12,PIV!A$15),ETAPP!A$1:A$32,0))&amp;INDEX(ETAPP!B$1:B$32,MATCH(COUNTIF(P12:AB12,PIV!A$16),ETAPP!A$1:A$32,0))&amp;INDEX(ETAPP!B$1:B$32,MATCH(COUNTIF(P12:AB12,PIV!A$17),ETAPP!A$1:A$32,0))&amp;INDEX(ETAPP!B$1:B$32,MATCH(COUNTIF(P12:AB12,PIV!A$18),ETAPP!A$1:A$32,0))&amp;INDEX(ETAPP!B$1:B$32,MATCH(COUNTIF(P12:AB12,PIV!A$19),ETAPP!A$1:A$32,0))</f>
        <v>CC00AB00A0A000A000A</v>
      </c>
      <c r="K12" s="233" t="str">
        <f t="shared" ca="1" si="5"/>
        <v>272,0-CC00AB00A0A000A000A</v>
      </c>
      <c r="L12" s="234">
        <f t="shared" ca="1" si="6"/>
        <v>5</v>
      </c>
      <c r="M12" s="234">
        <f t="shared" si="7"/>
        <v>39</v>
      </c>
      <c r="N12" s="233" t="str">
        <f t="shared" ca="1" si="8"/>
        <v>272,0-CC00AB00A0A000A000A-039</v>
      </c>
      <c r="O12" s="235">
        <f t="shared" ca="1" si="9"/>
        <v>51</v>
      </c>
      <c r="P12" s="236">
        <f>IFERROR(INDEX('1'!C$300:C$400,MATCH("*"&amp;F12&amp;"*",'1'!B$300:B$400,0)),"  ")</f>
        <v>34</v>
      </c>
      <c r="Q12" s="237">
        <f>IFERROR(INDEX('2'!C$300:C$400,MATCH("*"&amp;F12&amp;"*",'2'!B$300:B$400,0)),"  ")</f>
        <v>22</v>
      </c>
      <c r="R12" s="237">
        <f>IFERROR(INDEX('3'!C$300:C$400,MATCH("*"&amp;F12&amp;"*",'3'!B$300:B$400,0)),"  ")</f>
        <v>40</v>
      </c>
      <c r="S12" s="237">
        <f>IFERROR(INDEX('4'!C$300:C$400,MATCH("*"&amp;F12&amp;"*",'4'!B$300:B$400,0)),"  ")</f>
        <v>4</v>
      </c>
      <c r="T12" s="237">
        <f>IFERROR(INDEX('5'!C$300:C$400,MATCH("*"&amp;F12&amp;"*",'5'!B$300:B$400,0)),"  ")</f>
        <v>34</v>
      </c>
      <c r="U12" s="237">
        <f>IFERROR(INDEX('6'!C$300:C$400,MATCH("*"&amp;F12&amp;"*",'6'!B$300:B$400,0)),"  ")</f>
        <v>40</v>
      </c>
      <c r="V12" s="237" t="str">
        <f>IFERROR(INDEX('7'!C$300:C$400,MATCH("*"&amp;F12&amp;"*",'7'!B$300:B$400,0)),"  ")</f>
        <v xml:space="preserve">  </v>
      </c>
      <c r="W12" s="237">
        <f ca="1">IFERROR(INDEX('8'!C$300:C$400,MATCH("*"&amp;F12&amp;"*",'8'!B$300:B$400,0)),"  ")</f>
        <v>24</v>
      </c>
      <c r="X12" s="237">
        <f>IFERROR(INDEX('9'!C$300:C$400,MATCH("*"&amp;F12&amp;"*",'9'!B$300:B$400,0)),"  ")</f>
        <v>16</v>
      </c>
      <c r="Y12" s="237">
        <f>IFERROR(INDEX('10'!C$300:C$400,MATCH("*"&amp;F12&amp;"*",'10'!B$300:B$400,0)),"  ")</f>
        <v>34</v>
      </c>
      <c r="Z12" s="236">
        <f>IFERROR(INDEX('11'!C$300:C$400,MATCH("*"&amp;F12&amp;"*",'11'!B$300:B$400,0)),"  ")</f>
        <v>22</v>
      </c>
      <c r="AA12" s="237">
        <f>IFERROR(INDEX('12'!C$300:C$400,MATCH("*"&amp;F12&amp;"*",'12'!B$300:B$400,0)),"  ")</f>
        <v>40</v>
      </c>
      <c r="AB12" s="237">
        <f>IFERROR(INDEX('13'!C$300:C$400,MATCH("*"&amp;F12&amp;"*",'13'!B$300:B$400,0)),"  ")</f>
        <v>12</v>
      </c>
      <c r="AC12" s="238">
        <f t="shared" ca="1" si="10"/>
        <v>12</v>
      </c>
      <c r="AD12" s="239">
        <f t="shared" ca="1" si="11"/>
        <v>6</v>
      </c>
      <c r="AE12" s="239">
        <f t="shared" ca="1" si="12"/>
        <v>3</v>
      </c>
      <c r="AF12" s="240">
        <f t="shared" si="13"/>
        <v>34.000100000000003</v>
      </c>
      <c r="AG12" s="240">
        <f t="shared" si="14"/>
        <v>4.0004</v>
      </c>
      <c r="AH12" s="240">
        <f t="shared" ca="1" si="15"/>
        <v>6.9999999999999999E-4</v>
      </c>
      <c r="AI12" s="240">
        <f t="shared" ca="1" si="16"/>
        <v>12.001300000000001</v>
      </c>
      <c r="AJ12" s="179"/>
    </row>
    <row r="13" spans="1:36" x14ac:dyDescent="0.2">
      <c r="A13" s="225" t="str">
        <f t="shared" si="0"/>
        <v/>
      </c>
      <c r="B13" s="226" t="str">
        <f t="shared" si="1"/>
        <v/>
      </c>
      <c r="C13" s="227" t="str">
        <f t="shared" si="2"/>
        <v/>
      </c>
      <c r="D13" s="228" t="str">
        <f t="shared" si="3"/>
        <v/>
      </c>
      <c r="E13" s="229">
        <f t="shared" ca="1" si="4"/>
        <v>6</v>
      </c>
      <c r="F13" s="245" t="s">
        <v>106</v>
      </c>
      <c r="G13" s="230"/>
      <c r="H13" s="231"/>
      <c r="I13" s="232">
        <f t="array" aca="1" ref="I13" ca="1">(IF(COUNT(P13,R13,Y13,AA13)&lt;3,SUM(P13,R13,Y13,AA13),SUM(LARGE((P13,R13,Y13,AA13),{1;2;3}))))+(IF(COUNT(Q13,S13,T13,X13)&lt;3,SUM(Q13,S13,T13,X13),SUM(LARGE((Q13,S13,T13,X13),{1;2;3}))))+(IF(COUNT(U13,V13,W13,Z13,AB13)&lt;3,SUM(U13,V13,W13,Z13,AB13),SUM(LARGE((U13,V13,W13,Z13,AB13),{1;2;3}))))</f>
        <v>248</v>
      </c>
      <c r="J13" s="233" t="str">
        <f ca="1">INDEX(ETAPP!B$1:B$32,MATCH(COUNTIF(P13:AB13,PIV!A$1),ETAPP!A$1:A$32,0))&amp;INDEX(ETAPP!B$1:B$32,MATCH(COUNTIF(P13:AB13,PIV!A$2),ETAPP!A$1:A$32,0))&amp;INDEX(ETAPP!B$1:B$32,MATCH(COUNTIF(P13:AB13,PIV!A$3),ETAPP!A$1:A$32,0))&amp;INDEX(ETAPP!B$1:B$32,MATCH(COUNTIF(P13:AB13,PIV!A$4),ETAPP!A$1:A$32,0))&amp;INDEX(ETAPP!B$1:B$32,MATCH(COUNTIF(P13:AB13,PIV!A$5),ETAPP!A$1:A$32,0))&amp;INDEX(ETAPP!B$1:B$32,MATCH(COUNTIF(P13:AB13,PIV!A$6),ETAPP!A$1:A$32,0))&amp;INDEX(ETAPP!B$1:B$32,MATCH(COUNTIF(P13:AB13,PIV!A$7),ETAPP!A$1:A$32,0))&amp;INDEX(ETAPP!B$1:B$32,MATCH(COUNTIF(P13:AB13,PIV!A$8),ETAPP!A$1:A$32,0))&amp;INDEX(ETAPP!B$1:B$32,MATCH(COUNTIF(P13:AB13,PIV!A$9),ETAPP!A$1:A$32,0))&amp;INDEX(ETAPP!B$1:B$32,MATCH(COUNTIF(P13:AB13,PIV!A$10),ETAPP!A$1:A$32,0))&amp;INDEX(ETAPP!B$1:B$32,MATCH(COUNTIF(P13:AB13,PIV!A$11),ETAPP!A$1:A$32,0))&amp;INDEX(ETAPP!B$1:B$32,MATCH(COUNTIF(P13:AB13,PIV!A$12),ETAPP!A$1:A$32,0))&amp;INDEX(ETAPP!B$1:B$32,MATCH(COUNTIF(P13:AB13,PIV!A$13),ETAPP!A$1:A$32,0))&amp;INDEX(ETAPP!B$1:B$32,MATCH(COUNTIF(P13:AB13,PIV!A$14),ETAPP!A$1:A$32,0))&amp;INDEX(ETAPP!B$1:B$32,MATCH(COUNTIF(P13:AB13,PIV!A$15),ETAPP!A$1:A$32,0))&amp;INDEX(ETAPP!B$1:B$32,MATCH(COUNTIF(P13:AB13,PIV!A$16),ETAPP!A$1:A$32,0))&amp;INDEX(ETAPP!B$1:B$32,MATCH(COUNTIF(P13:AB13,PIV!A$17),ETAPP!A$1:A$32,0))&amp;INDEX(ETAPP!B$1:B$32,MATCH(COUNTIF(P13:AB13,PIV!A$18),ETAPP!A$1:A$32,0))&amp;INDEX(ETAPP!B$1:B$32,MATCH(COUNTIF(P13:AB13,PIV!A$19),ETAPP!A$1:A$32,0))</f>
        <v>AD00BAA0A0A0A00A000</v>
      </c>
      <c r="K13" s="233" t="str">
        <f t="shared" ca="1" si="5"/>
        <v>248,0-AD00BAA0A0A0A00A000</v>
      </c>
      <c r="L13" s="234">
        <f t="shared" ca="1" si="6"/>
        <v>6</v>
      </c>
      <c r="M13" s="234">
        <f t="shared" si="7"/>
        <v>37</v>
      </c>
      <c r="N13" s="233" t="str">
        <f t="shared" ca="1" si="8"/>
        <v>248,0-AD00BAA0A0A0A00A000-037</v>
      </c>
      <c r="O13" s="235">
        <f t="shared" ca="1" si="9"/>
        <v>50</v>
      </c>
      <c r="P13" s="236">
        <f>IFERROR(INDEX('1'!C$300:C$400,MATCH("*"&amp;F13&amp;"*",'1'!B$300:B$400,0)),"  ")</f>
        <v>40</v>
      </c>
      <c r="Q13" s="237">
        <f>IFERROR(INDEX('2'!C$300:C$400,MATCH("*"&amp;F13&amp;"*",'2'!B$300:B$400,0)),"  ")</f>
        <v>34</v>
      </c>
      <c r="R13" s="237">
        <f>IFERROR(INDEX('3'!C$300:C$400,MATCH("*"&amp;F13&amp;"*",'3'!B$300:B$400,0)),"  ")</f>
        <v>34</v>
      </c>
      <c r="S13" s="237">
        <f>IFERROR(INDEX('4'!C$300:C$400,MATCH("*"&amp;F13&amp;"*",'4'!B$300:B$400,0)),"  ")</f>
        <v>34</v>
      </c>
      <c r="T13" s="237">
        <f>IFERROR(INDEX('5'!C$300:C$400,MATCH("*"&amp;F13&amp;"*",'5'!B$300:B$400,0)),"  ")</f>
        <v>24</v>
      </c>
      <c r="U13" s="237">
        <f>IFERROR(INDEX('6'!C$300:C$400,MATCH("*"&amp;F13&amp;"*",'6'!B$300:B$400,0)),"  ")</f>
        <v>16</v>
      </c>
      <c r="V13" s="237">
        <f>IFERROR(INDEX('7'!C$300:C$400,MATCH("*"&amp;F13&amp;"*",'7'!B$300:B$400,0)),"  ")</f>
        <v>12</v>
      </c>
      <c r="W13" s="237">
        <f ca="1">IFERROR(INDEX('8'!C$300:C$400,MATCH("*"&amp;F13&amp;"*",'8'!B$300:B$400,0)),"  ")</f>
        <v>20</v>
      </c>
      <c r="X13" s="237">
        <f>IFERROR(INDEX('9'!C$300:C$400,MATCH("*"&amp;F13&amp;"*",'9'!B$300:B$400,0)),"  ")</f>
        <v>24</v>
      </c>
      <c r="Y13" s="237">
        <f>IFERROR(INDEX('10'!C$300:C$400,MATCH("*"&amp;F13&amp;"*",'10'!B$300:B$400,0)),"  ")</f>
        <v>22</v>
      </c>
      <c r="Z13" s="236">
        <f>IFERROR(INDEX('11'!C$300:C$400,MATCH("*"&amp;F13&amp;"*",'11'!B$300:B$400,0)),"  ")</f>
        <v>8</v>
      </c>
      <c r="AA13" s="237">
        <f>IFERROR(INDEX('12'!C$300:C$400,MATCH("*"&amp;F13&amp;"*",'12'!B$300:B$400,0)),"  ")</f>
        <v>34</v>
      </c>
      <c r="AB13" s="237">
        <f>IFERROR(INDEX('13'!C$300:C$400,MATCH("*"&amp;F13&amp;"*",'13'!B$300:B$400,0)),"  ")</f>
        <v>2</v>
      </c>
      <c r="AC13" s="239">
        <f t="shared" ca="1" si="10"/>
        <v>13</v>
      </c>
      <c r="AD13" s="239">
        <f t="shared" ca="1" si="11"/>
        <v>5</v>
      </c>
      <c r="AE13" s="239">
        <f t="shared" ca="1" si="12"/>
        <v>1</v>
      </c>
      <c r="AF13" s="240">
        <f t="shared" si="13"/>
        <v>22.001000000000001</v>
      </c>
      <c r="AG13" s="240">
        <f t="shared" si="14"/>
        <v>24.000499999999999</v>
      </c>
      <c r="AH13" s="240">
        <f t="shared" ca="1" si="15"/>
        <v>2.0013000000000001</v>
      </c>
      <c r="AI13" s="240">
        <f t="shared" ca="1" si="16"/>
        <v>8.0010999999999992</v>
      </c>
      <c r="AJ13" s="171"/>
    </row>
    <row r="14" spans="1:36" x14ac:dyDescent="0.2">
      <c r="A14" s="225" t="str">
        <f t="shared" si="0"/>
        <v/>
      </c>
      <c r="B14" s="226" t="str">
        <f t="shared" si="1"/>
        <v/>
      </c>
      <c r="C14" s="227" t="str">
        <f t="shared" si="2"/>
        <v/>
      </c>
      <c r="D14" s="228" t="str">
        <f t="shared" si="3"/>
        <v/>
      </c>
      <c r="E14" s="229">
        <f t="shared" ca="1" si="4"/>
        <v>7</v>
      </c>
      <c r="F14" s="245" t="s">
        <v>115</v>
      </c>
      <c r="G14" s="230"/>
      <c r="H14" s="231"/>
      <c r="I14" s="232">
        <f t="array" aca="1" ref="I14" ca="1">(IF(COUNT(P14,R14,Y14,AA14)&lt;3,SUM(P14,R14,Y14,AA14),SUM(LARGE((P14,R14,Y14,AA14),{1;2;3}))))+(IF(COUNT(Q14,S14,T14,X14)&lt;3,SUM(Q14,S14,T14,X14),SUM(LARGE((Q14,S14,T14,X14),{1;2;3}))))+(IF(COUNT(U14,V14,W14,Z14,AB14)&lt;3,SUM(U14,V14,W14,Z14,AB14),SUM(LARGE((U14,V14,W14,Z14,AB14),{1;2;3}))))</f>
        <v>232</v>
      </c>
      <c r="J14" s="233" t="str">
        <f ca="1">INDEX(ETAPP!B$1:B$32,MATCH(COUNTIF(P14:AB14,PIV!A$1),ETAPP!A$1:A$32,0))&amp;INDEX(ETAPP!B$1:B$32,MATCH(COUNTIF(P14:AB14,PIV!A$2),ETAPP!A$1:A$32,0))&amp;INDEX(ETAPP!B$1:B$32,MATCH(COUNTIF(P14:AB14,PIV!A$3),ETAPP!A$1:A$32,0))&amp;INDEX(ETAPP!B$1:B$32,MATCH(COUNTIF(P14:AB14,PIV!A$4),ETAPP!A$1:A$32,0))&amp;INDEX(ETAPP!B$1:B$32,MATCH(COUNTIF(P14:AB14,PIV!A$5),ETAPP!A$1:A$32,0))&amp;INDEX(ETAPP!B$1:B$32,MATCH(COUNTIF(P14:AB14,PIV!A$6),ETAPP!A$1:A$32,0))&amp;INDEX(ETAPP!B$1:B$32,MATCH(COUNTIF(P14:AB14,PIV!A$7),ETAPP!A$1:A$32,0))&amp;INDEX(ETAPP!B$1:B$32,MATCH(COUNTIF(P14:AB14,PIV!A$8),ETAPP!A$1:A$32,0))&amp;INDEX(ETAPP!B$1:B$32,MATCH(COUNTIF(P14:AB14,PIV!A$9),ETAPP!A$1:A$32,0))&amp;INDEX(ETAPP!B$1:B$32,MATCH(COUNTIF(P14:AB14,PIV!A$10),ETAPP!A$1:A$32,0))&amp;INDEX(ETAPP!B$1:B$32,MATCH(COUNTIF(P14:AB14,PIV!A$11),ETAPP!A$1:A$32,0))&amp;INDEX(ETAPP!B$1:B$32,MATCH(COUNTIF(P14:AB14,PIV!A$12),ETAPP!A$1:A$32,0))&amp;INDEX(ETAPP!B$1:B$32,MATCH(COUNTIF(P14:AB14,PIV!A$13),ETAPP!A$1:A$32,0))&amp;INDEX(ETAPP!B$1:B$32,MATCH(COUNTIF(P14:AB14,PIV!A$14),ETAPP!A$1:A$32,0))&amp;INDEX(ETAPP!B$1:B$32,MATCH(COUNTIF(P14:AB14,PIV!A$15),ETAPP!A$1:A$32,0))&amp;INDEX(ETAPP!B$1:B$32,MATCH(COUNTIF(P14:AB14,PIV!A$16),ETAPP!A$1:A$32,0))&amp;INDEX(ETAPP!B$1:B$32,MATCH(COUNTIF(P14:AB14,PIV!A$17),ETAPP!A$1:A$32,0))&amp;INDEX(ETAPP!B$1:B$32,MATCH(COUNTIF(P14:AB14,PIV!A$18),ETAPP!A$1:A$32,0))&amp;INDEX(ETAPP!B$1:B$32,MATCH(COUNTIF(P14:AB14,PIV!A$19),ETAPP!A$1:A$32,0))</f>
        <v>0ABD0A0AA0A0000000B</v>
      </c>
      <c r="K14" s="233" t="str">
        <f t="shared" ca="1" si="5"/>
        <v>232,0-0ABD0A0AA0A0000000B</v>
      </c>
      <c r="L14" s="234">
        <f t="shared" ca="1" si="6"/>
        <v>7</v>
      </c>
      <c r="M14" s="234">
        <f t="shared" si="7"/>
        <v>55</v>
      </c>
      <c r="N14" s="233" t="str">
        <f t="shared" ca="1" si="8"/>
        <v>232,0-0ABD0A0AA0A0000000B-055</v>
      </c>
      <c r="O14" s="235">
        <f t="shared" ca="1" si="9"/>
        <v>49</v>
      </c>
      <c r="P14" s="236">
        <f>IFERROR(INDEX('1'!C$300:C$400,MATCH("*"&amp;F14&amp;"*",'1'!B$300:B$400,0)),"  ")</f>
        <v>22</v>
      </c>
      <c r="Q14" s="237">
        <f>IFERROR(INDEX('2'!C$300:C$400,MATCH("*"&amp;F14&amp;"*",'2'!B$300:B$400,0)),"  ")</f>
        <v>30</v>
      </c>
      <c r="R14" s="237">
        <f>IFERROR(INDEX('3'!C$300:C$400,MATCH("*"&amp;F14&amp;"*",'3'!B$300:B$400,0)),"  ")</f>
        <v>26</v>
      </c>
      <c r="S14" s="237">
        <f>IFERROR(INDEX('4'!C$300:C$400,MATCH("*"&amp;F14&amp;"*",'4'!B$300:B$400,0)),"  ")</f>
        <v>26</v>
      </c>
      <c r="T14" s="237">
        <f>IFERROR(INDEX('5'!C$300:C$400,MATCH("*"&amp;F14&amp;"*",'5'!B$300:B$400,0)),"  ")</f>
        <v>18</v>
      </c>
      <c r="U14" s="237">
        <f>IFERROR(INDEX('6'!C$300:C$400,MATCH("*"&amp;F14&amp;"*",'6'!B$300:B$400,0)),"  ")</f>
        <v>34</v>
      </c>
      <c r="V14" s="237" t="str">
        <f>IFERROR(INDEX('7'!C$300:C$400,MATCH("*"&amp;F14&amp;"*",'7'!B$300:B$400,0)),"  ")</f>
        <v xml:space="preserve">  </v>
      </c>
      <c r="W14" s="237" t="str">
        <f ca="1">IFERROR(INDEX('8'!C$300:C$400,MATCH("*"&amp;F14&amp;"*",'8'!B$300:B$400,0)),"  ")</f>
        <v xml:space="preserve">  </v>
      </c>
      <c r="X14" s="237">
        <f>IFERROR(INDEX('9'!C$300:C$400,MATCH("*"&amp;F14&amp;"*",'9'!B$300:B$400,0)),"  ")</f>
        <v>12</v>
      </c>
      <c r="Y14" s="237">
        <f>IFERROR(INDEX('10'!C$300:C$400,MATCH("*"&amp;F14&amp;"*",'10'!B$300:B$400,0)),"  ")</f>
        <v>26</v>
      </c>
      <c r="Z14" s="236">
        <f>IFERROR(INDEX('11'!C$300:C$400,MATCH("*"&amp;F14&amp;"*",'11'!B$300:B$400,0)),"  ")</f>
        <v>16</v>
      </c>
      <c r="AA14" s="237">
        <f>IFERROR(INDEX('12'!C$300:C$400,MATCH("*"&amp;F14&amp;"*",'12'!B$300:B$400,0)),"  ")</f>
        <v>26</v>
      </c>
      <c r="AB14" s="237">
        <f>IFERROR(INDEX('13'!C$300:C$400,MATCH("*"&amp;F14&amp;"*",'13'!B$300:B$400,0)),"  ")</f>
        <v>30</v>
      </c>
      <c r="AC14" s="239">
        <f t="shared" ca="1" si="10"/>
        <v>11</v>
      </c>
      <c r="AD14" s="239">
        <f t="shared" ca="1" si="11"/>
        <v>3</v>
      </c>
      <c r="AE14" s="239">
        <f t="shared" ca="1" si="12"/>
        <v>0</v>
      </c>
      <c r="AF14" s="240">
        <f t="shared" si="13"/>
        <v>22.0001</v>
      </c>
      <c r="AG14" s="240">
        <f t="shared" si="14"/>
        <v>12.0009</v>
      </c>
      <c r="AH14" s="240">
        <f t="shared" ca="1" si="15"/>
        <v>6.9999999999999999E-4</v>
      </c>
      <c r="AI14" s="240">
        <f t="shared" ca="1" si="16"/>
        <v>8.0000000000000004E-4</v>
      </c>
      <c r="AJ14" s="171"/>
    </row>
    <row r="15" spans="1:36" x14ac:dyDescent="0.2">
      <c r="A15" s="225" t="str">
        <f t="shared" si="0"/>
        <v/>
      </c>
      <c r="B15" s="226" t="str">
        <f t="shared" si="1"/>
        <v/>
      </c>
      <c r="C15" s="227" t="str">
        <f t="shared" si="2"/>
        <v/>
      </c>
      <c r="D15" s="228" t="str">
        <f t="shared" si="3"/>
        <v/>
      </c>
      <c r="E15" s="229">
        <f t="shared" ca="1" si="4"/>
        <v>8</v>
      </c>
      <c r="F15" s="242" t="s">
        <v>108</v>
      </c>
      <c r="G15" s="230"/>
      <c r="H15" s="231"/>
      <c r="I15" s="232">
        <f t="array" aca="1" ref="I15" ca="1">(IF(COUNT(P15,R15,Y15,AA15)&lt;3,SUM(P15,R15,Y15,AA15),SUM(LARGE((P15,R15,Y15,AA15),{1;2;3}))))+(IF(COUNT(Q15,S15,T15,X15)&lt;3,SUM(Q15,S15,T15,X15),SUM(LARGE((Q15,S15,T15,X15),{1;2;3}))))+(IF(COUNT(U15,V15,W15,Z15,AB15)&lt;3,SUM(U15,V15,W15,Z15,AB15),SUM(LARGE((U15,V15,W15,Z15,AB15),{1;2;3}))))</f>
        <v>212</v>
      </c>
      <c r="J15" s="233" t="str">
        <f ca="1">INDEX(ETAPP!B$1:B$32,MATCH(COUNTIF(P15:AB15,PIV!A$1),ETAPP!A$1:A$32,0))&amp;INDEX(ETAPP!B$1:B$32,MATCH(COUNTIF(P15:AB15,PIV!A$2),ETAPP!A$1:A$32,0))&amp;INDEX(ETAPP!B$1:B$32,MATCH(COUNTIF(P15:AB15,PIV!A$3),ETAPP!A$1:A$32,0))&amp;INDEX(ETAPP!B$1:B$32,MATCH(COUNTIF(P15:AB15,PIV!A$4),ETAPP!A$1:A$32,0))&amp;INDEX(ETAPP!B$1:B$32,MATCH(COUNTIF(P15:AB15,PIV!A$5),ETAPP!A$1:A$32,0))&amp;INDEX(ETAPP!B$1:B$32,MATCH(COUNTIF(P15:AB15,PIV!A$6),ETAPP!A$1:A$32,0))&amp;INDEX(ETAPP!B$1:B$32,MATCH(COUNTIF(P15:AB15,PIV!A$7),ETAPP!A$1:A$32,0))&amp;INDEX(ETAPP!B$1:B$32,MATCH(COUNTIF(P15:AB15,PIV!A$8),ETAPP!A$1:A$32,0))&amp;INDEX(ETAPP!B$1:B$32,MATCH(COUNTIF(P15:AB15,PIV!A$9),ETAPP!A$1:A$32,0))&amp;INDEX(ETAPP!B$1:B$32,MATCH(COUNTIF(P15:AB15,PIV!A$10),ETAPP!A$1:A$32,0))&amp;INDEX(ETAPP!B$1:B$32,MATCH(COUNTIF(P15:AB15,PIV!A$11),ETAPP!A$1:A$32,0))&amp;INDEX(ETAPP!B$1:B$32,MATCH(COUNTIF(P15:AB15,PIV!A$12),ETAPP!A$1:A$32,0))&amp;INDEX(ETAPP!B$1:B$32,MATCH(COUNTIF(P15:AB15,PIV!A$13),ETAPP!A$1:A$32,0))&amp;INDEX(ETAPP!B$1:B$32,MATCH(COUNTIF(P15:AB15,PIV!A$14),ETAPP!A$1:A$32,0))&amp;INDEX(ETAPP!B$1:B$32,MATCH(COUNTIF(P15:AB15,PIV!A$15),ETAPP!A$1:A$32,0))&amp;INDEX(ETAPP!B$1:B$32,MATCH(COUNTIF(P15:AB15,PIV!A$16),ETAPP!A$1:A$32,0))&amp;INDEX(ETAPP!B$1:B$32,MATCH(COUNTIF(P15:AB15,PIV!A$17),ETAPP!A$1:A$32,0))&amp;INDEX(ETAPP!B$1:B$32,MATCH(COUNTIF(P15:AB15,PIV!A$18),ETAPP!A$1:A$32,0))&amp;INDEX(ETAPP!B$1:B$32,MATCH(COUNTIF(P15:AB15,PIV!A$19),ETAPP!A$1:A$32,0))</f>
        <v>A0BD0A000A00A0000AB</v>
      </c>
      <c r="K15" s="233" t="str">
        <f t="shared" ca="1" si="5"/>
        <v>212,0-A0BD0A000A00A0000AB</v>
      </c>
      <c r="L15" s="234">
        <f t="shared" ca="1" si="6"/>
        <v>8</v>
      </c>
      <c r="M15" s="234">
        <f t="shared" si="7"/>
        <v>19</v>
      </c>
      <c r="N15" s="233" t="str">
        <f t="shared" ca="1" si="8"/>
        <v>212,0-A0BD0A000A00A0000AB-019</v>
      </c>
      <c r="O15" s="235">
        <f t="shared" ca="1" si="9"/>
        <v>48</v>
      </c>
      <c r="P15" s="236">
        <f>IFERROR(INDEX('1'!C$300:C$400,MATCH("*"&amp;F15&amp;"*",'1'!B$300:B$400,0)),"  ")</f>
        <v>22</v>
      </c>
      <c r="Q15" s="237" t="str">
        <f>IFERROR(INDEX('2'!C$300:C$400,MATCH("*"&amp;F15&amp;"*",'2'!B$300:B$400,0)),"  ")</f>
        <v xml:space="preserve">  </v>
      </c>
      <c r="R15" s="237">
        <f>IFERROR(INDEX('3'!C$300:C$400,MATCH("*"&amp;F15&amp;"*",'3'!B$300:B$400,0)),"  ")</f>
        <v>30</v>
      </c>
      <c r="S15" s="237">
        <f>IFERROR(INDEX('4'!C$300:C$400,MATCH("*"&amp;F15&amp;"*",'4'!B$300:B$400,0)),"  ")</f>
        <v>8</v>
      </c>
      <c r="T15" s="237" t="str">
        <f>IFERROR(INDEX('5'!C$300:C$400,MATCH("*"&amp;F15&amp;"*",'5'!B$300:B$400,0)),"  ")</f>
        <v xml:space="preserve">  </v>
      </c>
      <c r="U15" s="237">
        <f>IFERROR(INDEX('6'!C$300:C$400,MATCH("*"&amp;F15&amp;"*",'6'!B$300:B$400,0)),"  ")</f>
        <v>26</v>
      </c>
      <c r="V15" s="237">
        <f>IFERROR(INDEX('7'!C$300:C$400,MATCH("*"&amp;F15&amp;"*",'7'!B$300:B$400,0)),"  ")</f>
        <v>30</v>
      </c>
      <c r="W15" s="237">
        <f ca="1">IFERROR(INDEX('8'!C$300:C$400,MATCH("*"&amp;F15&amp;"*",'8'!B$300:B$400,0)),"  ")</f>
        <v>14</v>
      </c>
      <c r="X15" s="237">
        <f>IFERROR(INDEX('9'!C$300:C$400,MATCH("*"&amp;F15&amp;"*",'9'!B$300:B$400,0)),"  ")</f>
        <v>40</v>
      </c>
      <c r="Y15" s="237">
        <f>IFERROR(INDEX('10'!C$300:C$400,MATCH("*"&amp;F15&amp;"*",'10'!B$300:B$400,0)),"  ")</f>
        <v>26</v>
      </c>
      <c r="Z15" s="236">
        <f>IFERROR(INDEX('11'!C$300:C$400,MATCH("*"&amp;F15&amp;"*",'11'!B$300:B$400,0)),"  ")</f>
        <v>26</v>
      </c>
      <c r="AA15" s="237">
        <f>IFERROR(INDEX('12'!C$300:C$400,MATCH("*"&amp;F15&amp;"*",'12'!B$300:B$400,0)),"  ")</f>
        <v>26</v>
      </c>
      <c r="AB15" s="237">
        <f>IFERROR(INDEX('13'!C$300:C$400,MATCH("*"&amp;F15&amp;"*",'13'!B$300:B$400,0)),"  ")</f>
        <v>0</v>
      </c>
      <c r="AC15" s="239">
        <f t="shared" ca="1" si="10"/>
        <v>11</v>
      </c>
      <c r="AD15" s="239">
        <f t="shared" ca="1" si="11"/>
        <v>3</v>
      </c>
      <c r="AE15" s="239">
        <f t="shared" ca="1" si="12"/>
        <v>1</v>
      </c>
      <c r="AF15" s="240">
        <f t="shared" si="13"/>
        <v>22.0001</v>
      </c>
      <c r="AG15" s="240">
        <f t="shared" si="14"/>
        <v>2.0000000000000001E-4</v>
      </c>
      <c r="AH15" s="240">
        <f t="shared" ca="1" si="15"/>
        <v>1.2999999999999999E-3</v>
      </c>
      <c r="AI15" s="240">
        <f t="shared" ca="1" si="16"/>
        <v>14.0008</v>
      </c>
      <c r="AJ15" s="171"/>
    </row>
    <row r="16" spans="1:36" x14ac:dyDescent="0.2">
      <c r="A16" s="225" t="str">
        <f t="shared" si="0"/>
        <v/>
      </c>
      <c r="B16" s="226" t="str">
        <f t="shared" si="1"/>
        <v/>
      </c>
      <c r="C16" s="227">
        <f t="shared" ca="1" si="2"/>
        <v>2</v>
      </c>
      <c r="D16" s="228">
        <f t="shared" ca="1" si="3"/>
        <v>9</v>
      </c>
      <c r="E16" s="229">
        <f t="shared" ca="1" si="4"/>
        <v>9</v>
      </c>
      <c r="F16" s="245" t="s">
        <v>135</v>
      </c>
      <c r="G16" s="230"/>
      <c r="H16" s="250" t="s">
        <v>125</v>
      </c>
      <c r="I16" s="232">
        <f t="array" aca="1" ref="I16" ca="1">(IF(COUNT(P16,R16,Y16,AA16)&lt;3,SUM(P16,R16,Y16,AA16),SUM(LARGE((P16,R16,Y16,AA16),{1;2;3}))))+(IF(COUNT(Q16,S16,T16,X16)&lt;3,SUM(Q16,S16,T16,X16),SUM(LARGE((Q16,S16,T16,X16),{1;2;3}))))+(IF(COUNT(U16,V16,W16,Z16,AB16)&lt;3,SUM(U16,V16,W16,Z16,AB16),SUM(LARGE((U16,V16,W16,Z16,AB16),{1;2;3}))))</f>
        <v>211</v>
      </c>
      <c r="J16" s="233" t="str">
        <f ca="1">INDEX(ETAPP!B$1:B$32,MATCH(COUNTIF(P16:AB16,PIV!A$1),ETAPP!A$1:A$32,0))&amp;INDEX(ETAPP!B$1:B$32,MATCH(COUNTIF(P16:AB16,PIV!A$2),ETAPP!A$1:A$32,0))&amp;INDEX(ETAPP!B$1:B$32,MATCH(COUNTIF(P16:AB16,PIV!A$3),ETAPP!A$1:A$32,0))&amp;INDEX(ETAPP!B$1:B$32,MATCH(COUNTIF(P16:AB16,PIV!A$4),ETAPP!A$1:A$32,0))&amp;INDEX(ETAPP!B$1:B$32,MATCH(COUNTIF(P16:AB16,PIV!A$5),ETAPP!A$1:A$32,0))&amp;INDEX(ETAPP!B$1:B$32,MATCH(COUNTIF(P16:AB16,PIV!A$6),ETAPP!A$1:A$32,0))&amp;INDEX(ETAPP!B$1:B$32,MATCH(COUNTIF(P16:AB16,PIV!A$7),ETAPP!A$1:A$32,0))&amp;INDEX(ETAPP!B$1:B$32,MATCH(COUNTIF(P16:AB16,PIV!A$8),ETAPP!A$1:A$32,0))&amp;INDEX(ETAPP!B$1:B$32,MATCH(COUNTIF(P16:AB16,PIV!A$9),ETAPP!A$1:A$32,0))&amp;INDEX(ETAPP!B$1:B$32,MATCH(COUNTIF(P16:AB16,PIV!A$10),ETAPP!A$1:A$32,0))&amp;INDEX(ETAPP!B$1:B$32,MATCH(COUNTIF(P16:AB16,PIV!A$11),ETAPP!A$1:A$32,0))&amp;INDEX(ETAPP!B$1:B$32,MATCH(COUNTIF(P16:AB16,PIV!A$12),ETAPP!A$1:A$32,0))&amp;INDEX(ETAPP!B$1:B$32,MATCH(COUNTIF(P16:AB16,PIV!A$13),ETAPP!A$1:A$32,0))&amp;INDEX(ETAPP!B$1:B$32,MATCH(COUNTIF(P16:AB16,PIV!A$14),ETAPP!A$1:A$32,0))&amp;INDEX(ETAPP!B$1:B$32,MATCH(COUNTIF(P16:AB16,PIV!A$15),ETAPP!A$1:A$32,0))&amp;INDEX(ETAPP!B$1:B$32,MATCH(COUNTIF(P16:AB16,PIV!A$16),ETAPP!A$1:A$32,0))&amp;INDEX(ETAPP!B$1:B$32,MATCH(COUNTIF(P16:AB16,PIV!A$17),ETAPP!A$1:A$32,0))&amp;INDEX(ETAPP!B$1:B$32,MATCH(COUNTIF(P16:AB16,PIV!A$18),ETAPP!A$1:A$32,0))&amp;INDEX(ETAPP!B$1:B$32,MATCH(COUNTIF(P16:AB16,PIV!A$19),ETAPP!A$1:A$32,0))</f>
        <v>A0BABAA0AA000000A0B</v>
      </c>
      <c r="K16" s="233" t="str">
        <f t="shared" ca="1" si="5"/>
        <v>211,0-A0BABAA0AA000000A0B</v>
      </c>
      <c r="L16" s="234">
        <f t="shared" ca="1" si="6"/>
        <v>9</v>
      </c>
      <c r="M16" s="234">
        <f t="shared" si="7"/>
        <v>32</v>
      </c>
      <c r="N16" s="233" t="str">
        <f t="shared" ca="1" si="8"/>
        <v>211,0-A0BABAA0AA000000A0B-032</v>
      </c>
      <c r="O16" s="235">
        <f t="shared" ca="1" si="9"/>
        <v>47</v>
      </c>
      <c r="P16" s="236">
        <f>IFERROR(INDEX('1'!C$300:C$400,MATCH("*"&amp;F16&amp;"*",'1'!B$300:B$400,0)),"  ")</f>
        <v>30</v>
      </c>
      <c r="Q16" s="237">
        <f>IFERROR(INDEX('2'!C$300:C$400,MATCH("*"&amp;F16&amp;"*",'2'!B$300:B$400,0)),"  ")</f>
        <v>24</v>
      </c>
      <c r="R16" s="237">
        <f>IFERROR(INDEX('3'!C$300:C$400,MATCH("*"&amp;F16&amp;"*",'3'!B$300:B$400,0)),"  ")</f>
        <v>16</v>
      </c>
      <c r="S16" s="237">
        <f>IFERROR(INDEX('4'!C$300:C$400,MATCH("*"&amp;F16&amp;"*",'4'!B$300:B$400,0)),"  ")</f>
        <v>40</v>
      </c>
      <c r="T16" s="237">
        <f>IFERROR(INDEX('5'!C$300:C$400,MATCH("*"&amp;F16&amp;"*",'5'!B$300:B$400,0)),"  ")</f>
        <v>20</v>
      </c>
      <c r="U16" s="237">
        <f>IFERROR(INDEX('6'!C$300:C$400,MATCH("*"&amp;F16&amp;"*",'6'!B$300:B$400,0)),"  ")</f>
        <v>1</v>
      </c>
      <c r="V16" s="237">
        <f>IFERROR(INDEX('7'!C$300:C$400,MATCH("*"&amp;F16&amp;"*",'7'!B$300:B$400,0)),"  ")</f>
        <v>14</v>
      </c>
      <c r="W16" s="237" t="str">
        <f ca="1">IFERROR(INDEX('8'!C$300:C$400,MATCH("*"&amp;F16&amp;"*",'8'!B$300:B$400,0)),"  ")</f>
        <v xml:space="preserve">  </v>
      </c>
      <c r="X16" s="237">
        <f>IFERROR(INDEX('9'!C$300:C$400,MATCH("*"&amp;F16&amp;"*",'9'!B$300:B$400,0)),"  ")</f>
        <v>26</v>
      </c>
      <c r="Y16" s="237">
        <f>IFERROR(INDEX('10'!C$300:C$400,MATCH("*"&amp;F16&amp;"*",'10'!B$300:B$400,0)),"  ")</f>
        <v>30</v>
      </c>
      <c r="Z16" s="236" t="str">
        <f>IFERROR(INDEX('11'!C$300:C$400,MATCH("*"&amp;F16&amp;"*",'11'!B$300:B$400,0)),"  ")</f>
        <v xml:space="preserve">  </v>
      </c>
      <c r="AA16" s="237">
        <f>IFERROR(INDEX('12'!C$300:C$400,MATCH("*"&amp;F16&amp;"*",'12'!B$300:B$400,0)),"  ")</f>
        <v>22</v>
      </c>
      <c r="AB16" s="237">
        <f>IFERROR(INDEX('13'!C$300:C$400,MATCH("*"&amp;F16&amp;"*",'13'!B$300:B$400,0)),"  ")</f>
        <v>24</v>
      </c>
      <c r="AC16" s="239">
        <f t="shared" ca="1" si="10"/>
        <v>11</v>
      </c>
      <c r="AD16" s="239">
        <f t="shared" ca="1" si="11"/>
        <v>3</v>
      </c>
      <c r="AE16" s="239">
        <f t="shared" ca="1" si="12"/>
        <v>1</v>
      </c>
      <c r="AF16" s="240">
        <f t="shared" si="13"/>
        <v>16.000299999999999</v>
      </c>
      <c r="AG16" s="240">
        <f t="shared" si="14"/>
        <v>20.000499999999999</v>
      </c>
      <c r="AH16" s="240">
        <f t="shared" ca="1" si="15"/>
        <v>8.0000000000000004E-4</v>
      </c>
      <c r="AI16" s="240">
        <f t="shared" ca="1" si="16"/>
        <v>1.1000000000000001E-3</v>
      </c>
      <c r="AJ16" s="171"/>
    </row>
    <row r="17" spans="1:36" x14ac:dyDescent="0.2">
      <c r="A17" s="225">
        <f t="shared" ca="1" si="0"/>
        <v>1</v>
      </c>
      <c r="B17" s="226">
        <f t="shared" ca="1" si="1"/>
        <v>10</v>
      </c>
      <c r="C17" s="227" t="str">
        <f t="shared" si="2"/>
        <v/>
      </c>
      <c r="D17" s="228" t="str">
        <f t="shared" si="3"/>
        <v/>
      </c>
      <c r="E17" s="229">
        <f t="shared" ca="1" si="4"/>
        <v>10</v>
      </c>
      <c r="F17" s="242" t="s">
        <v>118</v>
      </c>
      <c r="G17" s="230" t="s">
        <v>119</v>
      </c>
      <c r="H17" s="231"/>
      <c r="I17" s="232">
        <f t="array" aca="1" ref="I17" ca="1">(IF(COUNT(P17,R17,Y17,AA17)&lt;3,SUM(P17,R17,Y17,AA17),SUM(LARGE((P17,R17,Y17,AA17),{1;2;3}))))+(IF(COUNT(Q17,S17,T17,X17)&lt;3,SUM(Q17,S17,T17,X17),SUM(LARGE((Q17,S17,T17,X17),{1;2;3}))))+(IF(COUNT(U17,V17,W17,Z17,AB17)&lt;3,SUM(U17,V17,W17,Z17,AB17),SUM(LARGE((U17,V17,W17,Z17,AB17),{1;2;3}))))</f>
        <v>206</v>
      </c>
      <c r="J17" s="233" t="str">
        <f ca="1">INDEX(ETAPP!B$1:B$32,MATCH(COUNTIF(P17:AB17,PIV!A$1),ETAPP!A$1:A$32,0))&amp;INDEX(ETAPP!B$1:B$32,MATCH(COUNTIF(P17:AB17,PIV!A$2),ETAPP!A$1:A$32,0))&amp;INDEX(ETAPP!B$1:B$32,MATCH(COUNTIF(P17:AB17,PIV!A$3),ETAPP!A$1:A$32,0))&amp;INDEX(ETAPP!B$1:B$32,MATCH(COUNTIF(P17:AB17,PIV!A$4),ETAPP!A$1:A$32,0))&amp;INDEX(ETAPP!B$1:B$32,MATCH(COUNTIF(P17:AB17,PIV!A$5),ETAPP!A$1:A$32,0))&amp;INDEX(ETAPP!B$1:B$32,MATCH(COUNTIF(P17:AB17,PIV!A$6),ETAPP!A$1:A$32,0))&amp;INDEX(ETAPP!B$1:B$32,MATCH(COUNTIF(P17:AB17,PIV!A$7),ETAPP!A$1:A$32,0))&amp;INDEX(ETAPP!B$1:B$32,MATCH(COUNTIF(P17:AB17,PIV!A$8),ETAPP!A$1:A$32,0))&amp;INDEX(ETAPP!B$1:B$32,MATCH(COUNTIF(P17:AB17,PIV!A$9),ETAPP!A$1:A$32,0))&amp;INDEX(ETAPP!B$1:B$32,MATCH(COUNTIF(P17:AB17,PIV!A$10),ETAPP!A$1:A$32,0))&amp;INDEX(ETAPP!B$1:B$32,MATCH(COUNTIF(P17:AB17,PIV!A$11),ETAPP!A$1:A$32,0))&amp;INDEX(ETAPP!B$1:B$32,MATCH(COUNTIF(P17:AB17,PIV!A$12),ETAPP!A$1:A$32,0))&amp;INDEX(ETAPP!B$1:B$32,MATCH(COUNTIF(P17:AB17,PIV!A$13),ETAPP!A$1:A$32,0))&amp;INDEX(ETAPP!B$1:B$32,MATCH(COUNTIF(P17:AB17,PIV!A$14),ETAPP!A$1:A$32,0))&amp;INDEX(ETAPP!B$1:B$32,MATCH(COUNTIF(P17:AB17,PIV!A$15),ETAPP!A$1:A$32,0))&amp;INDEX(ETAPP!B$1:B$32,MATCH(COUNTIF(P17:AB17,PIV!A$16),ETAPP!A$1:A$32,0))&amp;INDEX(ETAPP!B$1:B$32,MATCH(COUNTIF(P17:AB17,PIV!A$17),ETAPP!A$1:A$32,0))&amp;INDEX(ETAPP!B$1:B$32,MATCH(COUNTIF(P17:AB17,PIV!A$18),ETAPP!A$1:A$32,0))&amp;INDEX(ETAPP!B$1:B$32,MATCH(COUNTIF(P17:AB17,PIV!A$19),ETAPP!A$1:A$32,0))</f>
        <v>00C0ABB0A00AA00A00A</v>
      </c>
      <c r="K17" s="233" t="str">
        <f t="shared" ca="1" si="5"/>
        <v>206,0-00C0ABB0A00AA00A00A</v>
      </c>
      <c r="L17" s="234">
        <f t="shared" ca="1" si="6"/>
        <v>10</v>
      </c>
      <c r="M17" s="234">
        <f t="shared" si="7"/>
        <v>12</v>
      </c>
      <c r="N17" s="233" t="str">
        <f t="shared" ca="1" si="8"/>
        <v>206,0-00C0ABB0A00AA00A00A-012</v>
      </c>
      <c r="O17" s="235">
        <f t="shared" ca="1" si="9"/>
        <v>46</v>
      </c>
      <c r="P17" s="236">
        <f>IFERROR(INDEX('1'!C$300:C$400,MATCH("*"&amp;F17&amp;"*",'1'!B$300:B$400,0)),"  ")</f>
        <v>30</v>
      </c>
      <c r="Q17" s="237">
        <f>IFERROR(INDEX('2'!C$300:C$400,MATCH("*"&amp;F17&amp;"*",'2'!B$300:B$400,0)),"  ")</f>
        <v>10</v>
      </c>
      <c r="R17" s="237">
        <f>IFERROR(INDEX('3'!C$300:C$400,MATCH("*"&amp;F17&amp;"*",'3'!B$300:B$400,0)),"  ")</f>
        <v>16</v>
      </c>
      <c r="S17" s="237">
        <f>IFERROR(INDEX('4'!C$300:C$400,MATCH("*"&amp;F17&amp;"*",'4'!B$300:B$400,0)),"  ")</f>
        <v>24</v>
      </c>
      <c r="T17" s="237">
        <f>IFERROR(INDEX('5'!C$300:C$400,MATCH("*"&amp;F17&amp;"*",'5'!B$300:B$400,0)),"  ")</f>
        <v>22</v>
      </c>
      <c r="U17" s="237" t="str">
        <f>IFERROR(INDEX('6'!C$300:C$400,MATCH("*"&amp;F17&amp;"*",'6'!B$300:B$400,0)),"  ")</f>
        <v xml:space="preserve">  </v>
      </c>
      <c r="V17" s="237">
        <f>IFERROR(INDEX('7'!C$300:C$400,MATCH("*"&amp;F17&amp;"*",'7'!B$300:B$400,0)),"  ")</f>
        <v>20</v>
      </c>
      <c r="W17" s="237">
        <f ca="1">IFERROR(INDEX('8'!C$300:C$400,MATCH("*"&amp;F17&amp;"*",'8'!B$300:B$400,0)),"  ")</f>
        <v>22</v>
      </c>
      <c r="X17" s="237">
        <f>IFERROR(INDEX('9'!C$300:C$400,MATCH("*"&amp;F17&amp;"*",'9'!B$300:B$400,0)),"  ")</f>
        <v>30</v>
      </c>
      <c r="Y17" s="237">
        <f>IFERROR(INDEX('10'!C$300:C$400,MATCH("*"&amp;F17&amp;"*",'10'!B$300:B$400,0)),"  ")</f>
        <v>30</v>
      </c>
      <c r="Z17" s="236">
        <f>IFERROR(INDEX('11'!C$300:C$400,MATCH("*"&amp;F17&amp;"*",'11'!B$300:B$400,0)),"  ")</f>
        <v>2</v>
      </c>
      <c r="AA17" s="237">
        <f>IFERROR(INDEX('12'!C$300:C$400,MATCH("*"&amp;F17&amp;"*",'12'!B$300:B$400,0)),"  ")</f>
        <v>20</v>
      </c>
      <c r="AB17" s="237">
        <f>IFERROR(INDEX('13'!C$300:C$400,MATCH("*"&amp;F17&amp;"*",'13'!B$300:B$400,0)),"  ")</f>
        <v>8</v>
      </c>
      <c r="AC17" s="239">
        <f t="shared" ca="1" si="10"/>
        <v>12</v>
      </c>
      <c r="AD17" s="239">
        <f t="shared" ca="1" si="11"/>
        <v>3</v>
      </c>
      <c r="AE17" s="239">
        <f t="shared" ca="1" si="12"/>
        <v>0</v>
      </c>
      <c r="AF17" s="240">
        <f t="shared" si="13"/>
        <v>16.000299999999999</v>
      </c>
      <c r="AG17" s="240">
        <f t="shared" si="14"/>
        <v>10.0002</v>
      </c>
      <c r="AH17" s="240">
        <f t="shared" ca="1" si="15"/>
        <v>5.9999999999999995E-4</v>
      </c>
      <c r="AI17" s="240">
        <f t="shared" ca="1" si="16"/>
        <v>2.0011000000000001</v>
      </c>
      <c r="AJ17" s="171"/>
    </row>
    <row r="18" spans="1:36" x14ac:dyDescent="0.2">
      <c r="A18" s="225" t="str">
        <f t="shared" si="0"/>
        <v/>
      </c>
      <c r="B18" s="226" t="str">
        <f t="shared" si="1"/>
        <v/>
      </c>
      <c r="C18" s="227" t="str">
        <f t="shared" si="2"/>
        <v/>
      </c>
      <c r="D18" s="228" t="str">
        <f t="shared" si="3"/>
        <v/>
      </c>
      <c r="E18" s="229">
        <f t="shared" ca="1" si="4"/>
        <v>11</v>
      </c>
      <c r="F18" s="191" t="s">
        <v>123</v>
      </c>
      <c r="G18" s="230"/>
      <c r="H18" s="231"/>
      <c r="I18" s="232">
        <f t="array" aca="1" ref="I18" ca="1">(IF(COUNT(P18,R18,Y18,AA18)&lt;3,SUM(P18,R18,Y18,AA18),SUM(LARGE((P18,R18,Y18,AA18),{1;2;3}))))+(IF(COUNT(Q18,S18,T18,X18)&lt;3,SUM(Q18,S18,T18,X18),SUM(LARGE((Q18,S18,T18,X18),{1;2;3}))))+(IF(COUNT(U18,V18,W18,Z18,AB18)&lt;3,SUM(U18,V18,W18,Z18,AB18),SUM(LARGE((U18,V18,W18,Z18,AB18),{1;2;3}))))</f>
        <v>202</v>
      </c>
      <c r="J18" s="233" t="str">
        <f ca="1">INDEX(ETAPP!B$1:B$32,MATCH(COUNTIF(P18:AB18,PIV!A$1),ETAPP!A$1:A$32,0))&amp;INDEX(ETAPP!B$1:B$32,MATCH(COUNTIF(P18:AB18,PIV!A$2),ETAPP!A$1:A$32,0))&amp;INDEX(ETAPP!B$1:B$32,MATCH(COUNTIF(P18:AB18,PIV!A$3),ETAPP!A$1:A$32,0))&amp;INDEX(ETAPP!B$1:B$32,MATCH(COUNTIF(P18:AB18,PIV!A$4),ETAPP!A$1:A$32,0))&amp;INDEX(ETAPP!B$1:B$32,MATCH(COUNTIF(P18:AB18,PIV!A$5),ETAPP!A$1:A$32,0))&amp;INDEX(ETAPP!B$1:B$32,MATCH(COUNTIF(P18:AB18,PIV!A$6),ETAPP!A$1:A$32,0))&amp;INDEX(ETAPP!B$1:B$32,MATCH(COUNTIF(P18:AB18,PIV!A$7),ETAPP!A$1:A$32,0))&amp;INDEX(ETAPP!B$1:B$32,MATCH(COUNTIF(P18:AB18,PIV!A$8),ETAPP!A$1:A$32,0))&amp;INDEX(ETAPP!B$1:B$32,MATCH(COUNTIF(P18:AB18,PIV!A$9),ETAPP!A$1:A$32,0))&amp;INDEX(ETAPP!B$1:B$32,MATCH(COUNTIF(P18:AB18,PIV!A$10),ETAPP!A$1:A$32,0))&amp;INDEX(ETAPP!B$1:B$32,MATCH(COUNTIF(P18:AB18,PIV!A$11),ETAPP!A$1:A$32,0))&amp;INDEX(ETAPP!B$1:B$32,MATCH(COUNTIF(P18:AB18,PIV!A$12),ETAPP!A$1:A$32,0))&amp;INDEX(ETAPP!B$1:B$32,MATCH(COUNTIF(P18:AB18,PIV!A$13),ETAPP!A$1:A$32,0))&amp;INDEX(ETAPP!B$1:B$32,MATCH(COUNTIF(P18:AB18,PIV!A$14),ETAPP!A$1:A$32,0))&amp;INDEX(ETAPP!B$1:B$32,MATCH(COUNTIF(P18:AB18,PIV!A$15),ETAPP!A$1:A$32,0))&amp;INDEX(ETAPP!B$1:B$32,MATCH(COUNTIF(P18:AB18,PIV!A$16),ETAPP!A$1:A$32,0))&amp;INDEX(ETAPP!B$1:B$32,MATCH(COUNTIF(P18:AB18,PIV!A$17),ETAPP!A$1:A$32,0))&amp;INDEX(ETAPP!B$1:B$32,MATCH(COUNTIF(P18:AB18,PIV!A$18),ETAPP!A$1:A$32,0))&amp;INDEX(ETAPP!B$1:B$32,MATCH(COUNTIF(P18:AB18,PIV!A$19),ETAPP!A$1:A$32,0))</f>
        <v>BB000A00B000000000F</v>
      </c>
      <c r="K18" s="233" t="str">
        <f t="shared" ca="1" si="5"/>
        <v>202,0-BB000A00B000000000F</v>
      </c>
      <c r="L18" s="234">
        <f t="shared" ca="1" si="6"/>
        <v>11</v>
      </c>
      <c r="M18" s="234">
        <f t="shared" si="7"/>
        <v>30</v>
      </c>
      <c r="N18" s="233" t="str">
        <f t="shared" ca="1" si="8"/>
        <v>202,0-BB000A00B000000000F-030</v>
      </c>
      <c r="O18" s="235">
        <f t="shared" ca="1" si="9"/>
        <v>45</v>
      </c>
      <c r="P18" s="236" t="str">
        <f>IFERROR(INDEX('1'!C$300:C$400,MATCH("*"&amp;F18&amp;"*",'1'!B$300:B$400,0)),"  ")</f>
        <v xml:space="preserve">  </v>
      </c>
      <c r="Q18" s="237">
        <f>IFERROR(INDEX('2'!C$300:C$400,MATCH("*"&amp;F18&amp;"*",'2'!B$300:B$400,0)),"  ")</f>
        <v>22</v>
      </c>
      <c r="R18" s="237">
        <f>IFERROR(INDEX('3'!C$300:C$400,MATCH("*"&amp;F18&amp;"*",'3'!B$300:B$400,0)),"  ")</f>
        <v>40</v>
      </c>
      <c r="S18" s="237" t="str">
        <f>IFERROR(INDEX('4'!C$300:C$400,MATCH("*"&amp;F18&amp;"*",'4'!B$300:B$400,0)),"  ")</f>
        <v xml:space="preserve">  </v>
      </c>
      <c r="T18" s="237">
        <f>IFERROR(INDEX('5'!C$300:C$400,MATCH("*"&amp;F18&amp;"*",'5'!B$300:B$400,0)),"  ")</f>
        <v>34</v>
      </c>
      <c r="U18" s="237" t="str">
        <f>IFERROR(INDEX('6'!C$300:C$400,MATCH("*"&amp;F18&amp;"*",'6'!B$300:B$400,0)),"  ")</f>
        <v xml:space="preserve">  </v>
      </c>
      <c r="V18" s="237" t="str">
        <f>IFERROR(INDEX('7'!C$300:C$400,MATCH("*"&amp;F18&amp;"*",'7'!B$300:B$400,0)),"  ")</f>
        <v xml:space="preserve">  </v>
      </c>
      <c r="W18" s="237">
        <f ca="1">IFERROR(INDEX('8'!C$300:C$400,MATCH("*"&amp;F18&amp;"*",'8'!B$300:B$400,0)),"  ")</f>
        <v>16</v>
      </c>
      <c r="X18" s="237">
        <f>IFERROR(INDEX('9'!C$300:C$400,MATCH("*"&amp;F18&amp;"*",'9'!B$300:B$400,0)),"  ")</f>
        <v>16</v>
      </c>
      <c r="Y18" s="237">
        <f>IFERROR(INDEX('10'!C$300:C$400,MATCH("*"&amp;F18&amp;"*",'10'!B$300:B$400,0)),"  ")</f>
        <v>34</v>
      </c>
      <c r="Z18" s="236" t="str">
        <f>IFERROR(INDEX('11'!C$300:C$400,MATCH("*"&amp;F18&amp;"*",'11'!B$300:B$400,0)),"  ")</f>
        <v xml:space="preserve">  </v>
      </c>
      <c r="AA18" s="237">
        <f>IFERROR(INDEX('12'!C$300:C$400,MATCH("*"&amp;F18&amp;"*",'12'!B$300:B$400,0)),"  ")</f>
        <v>40</v>
      </c>
      <c r="AB18" s="237" t="str">
        <f>IFERROR(INDEX('13'!C$300:C$400,MATCH("*"&amp;F18&amp;"*",'13'!B$300:B$400,0)),"  ")</f>
        <v xml:space="preserve">  </v>
      </c>
      <c r="AC18" s="239">
        <f t="shared" ca="1" si="10"/>
        <v>7</v>
      </c>
      <c r="AD18" s="239">
        <f t="shared" ca="1" si="11"/>
        <v>4</v>
      </c>
      <c r="AE18" s="239">
        <f t="shared" ca="1" si="12"/>
        <v>2</v>
      </c>
      <c r="AF18" s="240">
        <f t="shared" si="13"/>
        <v>1E-4</v>
      </c>
      <c r="AG18" s="240">
        <f t="shared" si="14"/>
        <v>4.0000000000000002E-4</v>
      </c>
      <c r="AH18" s="240">
        <f t="shared" ca="1" si="15"/>
        <v>5.9999999999999995E-4</v>
      </c>
      <c r="AI18" s="240" t="e">
        <f t="shared" ca="1" si="16"/>
        <v>#VALUE!</v>
      </c>
      <c r="AJ18" s="171"/>
    </row>
    <row r="19" spans="1:36" x14ac:dyDescent="0.2">
      <c r="A19" s="225" t="str">
        <f t="shared" si="0"/>
        <v/>
      </c>
      <c r="B19" s="226" t="str">
        <f t="shared" si="1"/>
        <v/>
      </c>
      <c r="C19" s="227" t="str">
        <f t="shared" si="2"/>
        <v/>
      </c>
      <c r="D19" s="228" t="str">
        <f t="shared" si="3"/>
        <v/>
      </c>
      <c r="E19" s="229">
        <f t="shared" ca="1" si="4"/>
        <v>12</v>
      </c>
      <c r="F19" s="191" t="s">
        <v>112</v>
      </c>
      <c r="G19" s="230"/>
      <c r="H19" s="231"/>
      <c r="I19" s="232">
        <f t="array" aca="1" ref="I19" ca="1">(IF(COUNT(P19,R19,Y19,AA19)&lt;3,SUM(P19,R19,Y19,AA19),SUM(LARGE((P19,R19,Y19,AA19),{1;2;3}))))+(IF(COUNT(Q19,S19,T19,X19)&lt;3,SUM(Q19,S19,T19,X19),SUM(LARGE((Q19,S19,T19,X19),{1;2;3}))))+(IF(COUNT(U19,V19,W19,Z19,AB19)&lt;3,SUM(U19,V19,W19,Z19,AB19),SUM(LARGE((U19,V19,W19,Z19,AB19),{1;2;3}))))</f>
        <v>197</v>
      </c>
      <c r="J19" s="233" t="str">
        <f ca="1">INDEX(ETAPP!B$1:B$32,MATCH(COUNTIF(P19:AB19,PIV!A$1),ETAPP!A$1:A$32,0))&amp;INDEX(ETAPP!B$1:B$32,MATCH(COUNTIF(P19:AB19,PIV!A$2),ETAPP!A$1:A$32,0))&amp;INDEX(ETAPP!B$1:B$32,MATCH(COUNTIF(P19:AB19,PIV!A$3),ETAPP!A$1:A$32,0))&amp;INDEX(ETAPP!B$1:B$32,MATCH(COUNTIF(P19:AB19,PIV!A$4),ETAPP!A$1:A$32,0))&amp;INDEX(ETAPP!B$1:B$32,MATCH(COUNTIF(P19:AB19,PIV!A$5),ETAPP!A$1:A$32,0))&amp;INDEX(ETAPP!B$1:B$32,MATCH(COUNTIF(P19:AB19,PIV!A$6),ETAPP!A$1:A$32,0))&amp;INDEX(ETAPP!B$1:B$32,MATCH(COUNTIF(P19:AB19,PIV!A$7),ETAPP!A$1:A$32,0))&amp;INDEX(ETAPP!B$1:B$32,MATCH(COUNTIF(P19:AB19,PIV!A$8),ETAPP!A$1:A$32,0))&amp;INDEX(ETAPP!B$1:B$32,MATCH(COUNTIF(P19:AB19,PIV!A$9),ETAPP!A$1:A$32,0))&amp;INDEX(ETAPP!B$1:B$32,MATCH(COUNTIF(P19:AB19,PIV!A$10),ETAPP!A$1:A$32,0))&amp;INDEX(ETAPP!B$1:B$32,MATCH(COUNTIF(P19:AB19,PIV!A$11),ETAPP!A$1:A$32,0))&amp;INDEX(ETAPP!B$1:B$32,MATCH(COUNTIF(P19:AB19,PIV!A$12),ETAPP!A$1:A$32,0))&amp;INDEX(ETAPP!B$1:B$32,MATCH(COUNTIF(P19:AB19,PIV!A$13),ETAPP!A$1:A$32,0))&amp;INDEX(ETAPP!B$1:B$32,MATCH(COUNTIF(P19:AB19,PIV!A$14),ETAPP!A$1:A$32,0))&amp;INDEX(ETAPP!B$1:B$32,MATCH(COUNTIF(P19:AB19,PIV!A$15),ETAPP!A$1:A$32,0))&amp;INDEX(ETAPP!B$1:B$32,MATCH(COUNTIF(P19:AB19,PIV!A$16),ETAPP!A$1:A$32,0))&amp;INDEX(ETAPP!B$1:B$32,MATCH(COUNTIF(P19:AB19,PIV!A$17),ETAPP!A$1:A$32,0))&amp;INDEX(ETAPP!B$1:B$32,MATCH(COUNTIF(P19:AB19,PIV!A$18),ETAPP!A$1:A$32,0))&amp;INDEX(ETAPP!B$1:B$32,MATCH(COUNTIF(P19:AB19,PIV!A$19),ETAPP!A$1:A$32,0))</f>
        <v>00C0ABAAA00A0000C00</v>
      </c>
      <c r="K19" s="233" t="str">
        <f t="shared" ca="1" si="5"/>
        <v>197,0-00C0ABAAA00A0000C00</v>
      </c>
      <c r="L19" s="234">
        <f t="shared" ca="1" si="6"/>
        <v>12</v>
      </c>
      <c r="M19" s="234">
        <f t="shared" si="7"/>
        <v>50</v>
      </c>
      <c r="N19" s="233" t="str">
        <f t="shared" ca="1" si="8"/>
        <v>197,0-00C0ABAAA00A0000C00-050</v>
      </c>
      <c r="O19" s="235">
        <f t="shared" ca="1" si="9"/>
        <v>44</v>
      </c>
      <c r="P19" s="236">
        <f>IFERROR(INDEX('1'!C$300:C$400,MATCH("*"&amp;F19&amp;"*",'1'!B$300:B$400,0)),"  ")</f>
        <v>30</v>
      </c>
      <c r="Q19" s="237">
        <f>IFERROR(INDEX('2'!C$300:C$400,MATCH("*"&amp;F19&amp;"*",'2'!B$300:B$400,0)),"  ")</f>
        <v>10</v>
      </c>
      <c r="R19" s="237">
        <f>IFERROR(INDEX('3'!C$300:C$400,MATCH("*"&amp;F19&amp;"*",'3'!B$300:B$400,0)),"  ")</f>
        <v>16</v>
      </c>
      <c r="S19" s="237">
        <f>IFERROR(INDEX('4'!C$300:C$400,MATCH("*"&amp;F19&amp;"*",'4'!B$300:B$400,0)),"  ")</f>
        <v>24</v>
      </c>
      <c r="T19" s="237">
        <f>IFERROR(INDEX('5'!C$300:C$400,MATCH("*"&amp;F19&amp;"*",'5'!B$300:B$400,0)),"  ")</f>
        <v>22</v>
      </c>
      <c r="U19" s="237">
        <f>IFERROR(INDEX('6'!C$300:C$400,MATCH("*"&amp;F19&amp;"*",'6'!B$300:B$400,0)),"  ")</f>
        <v>1</v>
      </c>
      <c r="V19" s="237">
        <f>IFERROR(INDEX('7'!C$300:C$400,MATCH("*"&amp;F19&amp;"*",'7'!B$300:B$400,0)),"  ")</f>
        <v>22</v>
      </c>
      <c r="W19" s="237">
        <f ca="1">IFERROR(INDEX('8'!C$300:C$400,MATCH("*"&amp;F19&amp;"*",'8'!B$300:B$400,0)),"  ")</f>
        <v>18</v>
      </c>
      <c r="X19" s="237">
        <f>IFERROR(INDEX('9'!C$300:C$400,MATCH("*"&amp;F19&amp;"*",'9'!B$300:B$400,0)),"  ")</f>
        <v>30</v>
      </c>
      <c r="Y19" s="237">
        <f>IFERROR(INDEX('10'!C$300:C$400,MATCH("*"&amp;F19&amp;"*",'10'!B$300:B$400,0)),"  ")</f>
        <v>30</v>
      </c>
      <c r="Z19" s="236">
        <f>IFERROR(INDEX('11'!C$300:C$400,MATCH("*"&amp;F19&amp;"*",'11'!B$300:B$400,0)),"  ")</f>
        <v>1</v>
      </c>
      <c r="AA19" s="237">
        <f>IFERROR(INDEX('12'!C$300:C$400,MATCH("*"&amp;F19&amp;"*",'12'!B$300:B$400,0)),"  ")</f>
        <v>20</v>
      </c>
      <c r="AB19" s="237">
        <f>IFERROR(INDEX('13'!C$300:C$400,MATCH("*"&amp;F19&amp;"*",'13'!B$300:B$400,0)),"  ")</f>
        <v>1</v>
      </c>
      <c r="AC19" s="239">
        <f t="shared" ca="1" si="10"/>
        <v>13</v>
      </c>
      <c r="AD19" s="239">
        <f t="shared" ca="1" si="11"/>
        <v>3</v>
      </c>
      <c r="AE19" s="239">
        <f t="shared" ca="1" si="12"/>
        <v>0</v>
      </c>
      <c r="AF19" s="240">
        <f t="shared" si="13"/>
        <v>16.000299999999999</v>
      </c>
      <c r="AG19" s="240">
        <f t="shared" si="14"/>
        <v>10.0002</v>
      </c>
      <c r="AH19" s="240">
        <f t="shared" ca="1" si="15"/>
        <v>1.0005999999999999</v>
      </c>
      <c r="AI19" s="240">
        <f t="shared" ca="1" si="16"/>
        <v>1.0011000000000001</v>
      </c>
      <c r="AJ19" s="171"/>
    </row>
    <row r="20" spans="1:36" x14ac:dyDescent="0.2">
      <c r="A20" s="225" t="str">
        <f t="shared" si="0"/>
        <v/>
      </c>
      <c r="B20" s="226" t="str">
        <f t="shared" si="1"/>
        <v/>
      </c>
      <c r="C20" s="227" t="str">
        <f t="shared" si="2"/>
        <v/>
      </c>
      <c r="D20" s="228" t="str">
        <f t="shared" si="3"/>
        <v/>
      </c>
      <c r="E20" s="229">
        <f t="shared" ca="1" si="4"/>
        <v>13</v>
      </c>
      <c r="F20" s="245" t="s">
        <v>116</v>
      </c>
      <c r="G20" s="230"/>
      <c r="H20" s="231"/>
      <c r="I20" s="232">
        <f t="array" aca="1" ref="I20" ca="1">(IF(COUNT(P20,R20,Y20,AA20)&lt;3,SUM(P20,R20,Y20,AA20),SUM(LARGE((P20,R20,Y20,AA20),{1;2;3}))))+(IF(COUNT(Q20,S20,T20,X20)&lt;3,SUM(Q20,S20,T20,X20),SUM(LARGE((Q20,S20,T20,X20),{1;2;3}))))+(IF(COUNT(U20,V20,W20,Z20,AB20)&lt;3,SUM(U20,V20,W20,Z20,AB20),SUM(LARGE((U20,V20,W20,Z20,AB20),{1;2;3}))))</f>
        <v>185</v>
      </c>
      <c r="J20" s="233" t="str">
        <f ca="1">INDEX(ETAPP!B$1:B$32,MATCH(COUNTIF(P20:AB20,PIV!A$1),ETAPP!A$1:A$32,0))&amp;INDEX(ETAPP!B$1:B$32,MATCH(COUNTIF(P20:AB20,PIV!A$2),ETAPP!A$1:A$32,0))&amp;INDEX(ETAPP!B$1:B$32,MATCH(COUNTIF(P20:AB20,PIV!A$3),ETAPP!A$1:A$32,0))&amp;INDEX(ETAPP!B$1:B$32,MATCH(COUNTIF(P20:AB20,PIV!A$4),ETAPP!A$1:A$32,0))&amp;INDEX(ETAPP!B$1:B$32,MATCH(COUNTIF(P20:AB20,PIV!A$5),ETAPP!A$1:A$32,0))&amp;INDEX(ETAPP!B$1:B$32,MATCH(COUNTIF(P20:AB20,PIV!A$6),ETAPP!A$1:A$32,0))&amp;INDEX(ETAPP!B$1:B$32,MATCH(COUNTIF(P20:AB20,PIV!A$7),ETAPP!A$1:A$32,0))&amp;INDEX(ETAPP!B$1:B$32,MATCH(COUNTIF(P20:AB20,PIV!A$8),ETAPP!A$1:A$32,0))&amp;INDEX(ETAPP!B$1:B$32,MATCH(COUNTIF(P20:AB20,PIV!A$9),ETAPP!A$1:A$32,0))&amp;INDEX(ETAPP!B$1:B$32,MATCH(COUNTIF(P20:AB20,PIV!A$10),ETAPP!A$1:A$32,0))&amp;INDEX(ETAPP!B$1:B$32,MATCH(COUNTIF(P20:AB20,PIV!A$11),ETAPP!A$1:A$32,0))&amp;INDEX(ETAPP!B$1:B$32,MATCH(COUNTIF(P20:AB20,PIV!A$12),ETAPP!A$1:A$32,0))&amp;INDEX(ETAPP!B$1:B$32,MATCH(COUNTIF(P20:AB20,PIV!A$13),ETAPP!A$1:A$32,0))&amp;INDEX(ETAPP!B$1:B$32,MATCH(COUNTIF(P20:AB20,PIV!A$14),ETAPP!A$1:A$32,0))&amp;INDEX(ETAPP!B$1:B$32,MATCH(COUNTIF(P20:AB20,PIV!A$15),ETAPP!A$1:A$32,0))&amp;INDEX(ETAPP!B$1:B$32,MATCH(COUNTIF(P20:AB20,PIV!A$16),ETAPP!A$1:A$32,0))&amp;INDEX(ETAPP!B$1:B$32,MATCH(COUNTIF(P20:AB20,PIV!A$17),ETAPP!A$1:A$32,0))&amp;INDEX(ETAPP!B$1:B$32,MATCH(COUNTIF(P20:AB20,PIV!A$18),ETAPP!A$1:A$32,0))&amp;INDEX(ETAPP!B$1:B$32,MATCH(COUNTIF(P20:AB20,PIV!A$19),ETAPP!A$1:A$32,0))</f>
        <v>0AABA0AB000AA000A0B</v>
      </c>
      <c r="K20" s="233" t="str">
        <f t="shared" ca="1" si="5"/>
        <v>185,0-0AABA0AB000AA000A0B</v>
      </c>
      <c r="L20" s="234">
        <f t="shared" ca="1" si="6"/>
        <v>13</v>
      </c>
      <c r="M20" s="234">
        <f t="shared" si="7"/>
        <v>49</v>
      </c>
      <c r="N20" s="233" t="str">
        <f t="shared" ca="1" si="8"/>
        <v>185,0-0AABA0AB000AA000A0B-049</v>
      </c>
      <c r="O20" s="235">
        <f t="shared" ca="1" si="9"/>
        <v>43</v>
      </c>
      <c r="P20" s="236">
        <f>IFERROR(INDEX('1'!C$300:C$400,MATCH("*"&amp;F20&amp;"*",'1'!B$300:B$400,0)),"  ")</f>
        <v>34</v>
      </c>
      <c r="Q20" s="237">
        <f>IFERROR(INDEX('2'!C$300:C$400,MATCH("*"&amp;F20&amp;"*",'2'!B$300:B$400,0)),"  ")</f>
        <v>26</v>
      </c>
      <c r="R20" s="237">
        <f>IFERROR(INDEX('3'!C$300:C$400,MATCH("*"&amp;F20&amp;"*",'3'!B$300:B$400,0)),"  ")</f>
        <v>24</v>
      </c>
      <c r="S20" s="237">
        <f>IFERROR(INDEX('4'!C$300:C$400,MATCH("*"&amp;F20&amp;"*",'4'!B$300:B$400,0)),"  ")</f>
        <v>18</v>
      </c>
      <c r="T20" s="237">
        <f>IFERROR(INDEX('5'!C$300:C$400,MATCH("*"&amp;F20&amp;"*",'5'!B$300:B$400,0)),"  ")</f>
        <v>26</v>
      </c>
      <c r="U20" s="237">
        <f>IFERROR(INDEX('6'!C$300:C$400,MATCH("*"&amp;F20&amp;"*",'6'!B$300:B$400,0)),"  ")</f>
        <v>8</v>
      </c>
      <c r="V20" s="237">
        <f>IFERROR(INDEX('7'!C$300:C$400,MATCH("*"&amp;F20&amp;"*",'7'!B$300:B$400,0)),"  ")</f>
        <v>1</v>
      </c>
      <c r="W20" s="237" t="str">
        <f ca="1">IFERROR(INDEX('8'!C$300:C$400,MATCH("*"&amp;F20&amp;"*",'8'!B$300:B$400,0)),"  ")</f>
        <v xml:space="preserve">  </v>
      </c>
      <c r="X20" s="237">
        <f>IFERROR(INDEX('9'!C$300:C$400,MATCH("*"&amp;F20&amp;"*",'9'!B$300:B$400,0)),"  ")</f>
        <v>10</v>
      </c>
      <c r="Y20" s="237">
        <f>IFERROR(INDEX('10'!C$300:C$400,MATCH("*"&amp;F20&amp;"*",'10'!B$300:B$400,0)),"  ")</f>
        <v>20</v>
      </c>
      <c r="Z20" s="236" t="str">
        <f>IFERROR(INDEX('11'!C$300:C$400,MATCH("*"&amp;F20&amp;"*",'11'!B$300:B$400,0)),"  ")</f>
        <v xml:space="preserve">  </v>
      </c>
      <c r="AA20" s="237">
        <f>IFERROR(INDEX('12'!C$300:C$400,MATCH("*"&amp;F20&amp;"*",'12'!B$300:B$400,0)),"  ")</f>
        <v>30</v>
      </c>
      <c r="AB20" s="237">
        <f>IFERROR(INDEX('13'!C$300:C$400,MATCH("*"&amp;F20&amp;"*",'13'!B$300:B$400,0)),"  ")</f>
        <v>18</v>
      </c>
      <c r="AC20" s="239">
        <f t="shared" ca="1" si="10"/>
        <v>11</v>
      </c>
      <c r="AD20" s="239">
        <f t="shared" ca="1" si="11"/>
        <v>2</v>
      </c>
      <c r="AE20" s="239">
        <f t="shared" ca="1" si="12"/>
        <v>0</v>
      </c>
      <c r="AF20" s="240">
        <f t="shared" si="13"/>
        <v>20.001000000000001</v>
      </c>
      <c r="AG20" s="240">
        <f t="shared" si="14"/>
        <v>10.0009</v>
      </c>
      <c r="AH20" s="240">
        <f t="shared" ca="1" si="15"/>
        <v>8.0000000000000004E-4</v>
      </c>
      <c r="AI20" s="240">
        <f t="shared" ca="1" si="16"/>
        <v>1.1000000000000001E-3</v>
      </c>
      <c r="AJ20" s="171"/>
    </row>
    <row r="21" spans="1:36" x14ac:dyDescent="0.2">
      <c r="A21" s="225" t="str">
        <f t="shared" si="0"/>
        <v/>
      </c>
      <c r="B21" s="226" t="str">
        <f t="shared" si="1"/>
        <v/>
      </c>
      <c r="C21" s="227" t="str">
        <f t="shared" si="2"/>
        <v/>
      </c>
      <c r="D21" s="228" t="str">
        <f t="shared" si="3"/>
        <v/>
      </c>
      <c r="E21" s="229">
        <f t="shared" ca="1" si="4"/>
        <v>14</v>
      </c>
      <c r="F21" s="191" t="s">
        <v>141</v>
      </c>
      <c r="G21" s="230"/>
      <c r="H21" s="231"/>
      <c r="I21" s="232">
        <f t="array" aca="1" ref="I21" ca="1">(IF(COUNT(P21,R21,Y21,AA21)&lt;3,SUM(P21,R21,Y21,AA21),SUM(LARGE((P21,R21,Y21,AA21),{1;2;3}))))+(IF(COUNT(Q21,S21,T21,X21)&lt;3,SUM(Q21,S21,T21,X21),SUM(LARGE((Q21,S21,T21,X21),{1;2;3}))))+(IF(COUNT(U21,V21,W21,Z21,AB21)&lt;3,SUM(U21,V21,W21,Z21,AB21),SUM(LARGE((U21,V21,W21,Z21,AB21),{1;2;3}))))</f>
        <v>178</v>
      </c>
      <c r="J21" s="233" t="str">
        <f ca="1">INDEX(ETAPP!B$1:B$32,MATCH(COUNTIF(P21:AB21,PIV!A$1),ETAPP!A$1:A$32,0))&amp;INDEX(ETAPP!B$1:B$32,MATCH(COUNTIF(P21:AB21,PIV!A$2),ETAPP!A$1:A$32,0))&amp;INDEX(ETAPP!B$1:B$32,MATCH(COUNTIF(P21:AB21,PIV!A$3),ETAPP!A$1:A$32,0))&amp;INDEX(ETAPP!B$1:B$32,MATCH(COUNTIF(P21:AB21,PIV!A$4),ETAPP!A$1:A$32,0))&amp;INDEX(ETAPP!B$1:B$32,MATCH(COUNTIF(P21:AB21,PIV!A$5),ETAPP!A$1:A$32,0))&amp;INDEX(ETAPP!B$1:B$32,MATCH(COUNTIF(P21:AB21,PIV!A$6),ETAPP!A$1:A$32,0))&amp;INDEX(ETAPP!B$1:B$32,MATCH(COUNTIF(P21:AB21,PIV!A$7),ETAPP!A$1:A$32,0))&amp;INDEX(ETAPP!B$1:B$32,MATCH(COUNTIF(P21:AB21,PIV!A$8),ETAPP!A$1:A$32,0))&amp;INDEX(ETAPP!B$1:B$32,MATCH(COUNTIF(P21:AB21,PIV!A$9),ETAPP!A$1:A$32,0))&amp;INDEX(ETAPP!B$1:B$32,MATCH(COUNTIF(P21:AB21,PIV!A$10),ETAPP!A$1:A$32,0))&amp;INDEX(ETAPP!B$1:B$32,MATCH(COUNTIF(P21:AB21,PIV!A$11),ETAPP!A$1:A$32,0))&amp;INDEX(ETAPP!B$1:B$32,MATCH(COUNTIF(P21:AB21,PIV!A$12),ETAPP!A$1:A$32,0))&amp;INDEX(ETAPP!B$1:B$32,MATCH(COUNTIF(P21:AB21,PIV!A$13),ETAPP!A$1:A$32,0))&amp;INDEX(ETAPP!B$1:B$32,MATCH(COUNTIF(P21:AB21,PIV!A$14),ETAPP!A$1:A$32,0))&amp;INDEX(ETAPP!B$1:B$32,MATCH(COUNTIF(P21:AB21,PIV!A$15),ETAPP!A$1:A$32,0))&amp;INDEX(ETAPP!B$1:B$32,MATCH(COUNTIF(P21:AB21,PIV!A$16),ETAPP!A$1:A$32,0))&amp;INDEX(ETAPP!B$1:B$32,MATCH(COUNTIF(P21:AB21,PIV!A$17),ETAPP!A$1:A$32,0))&amp;INDEX(ETAPP!B$1:B$32,MATCH(COUNTIF(P21:AB21,PIV!A$18),ETAPP!A$1:A$32,0))&amp;INDEX(ETAPP!B$1:B$32,MATCH(COUNTIF(P21:AB21,PIV!A$19),ETAPP!A$1:A$32,0))</f>
        <v>AB000BA000000A0000F</v>
      </c>
      <c r="K21" s="233" t="str">
        <f t="shared" ca="1" si="5"/>
        <v>178,0-AB000BA000000A0000F</v>
      </c>
      <c r="L21" s="234">
        <f t="shared" ca="1" si="6"/>
        <v>14</v>
      </c>
      <c r="M21" s="234">
        <f t="shared" si="7"/>
        <v>22</v>
      </c>
      <c r="N21" s="233" t="str">
        <f t="shared" ca="1" si="8"/>
        <v>178,0-AB000BA000000A0000F-022</v>
      </c>
      <c r="O21" s="235">
        <f t="shared" ca="1" si="9"/>
        <v>42</v>
      </c>
      <c r="P21" s="236">
        <f>IFERROR(INDEX('1'!C$300:C$400,MATCH("*"&amp;F21&amp;"*",'1'!B$300:B$400,0)),"  ")</f>
        <v>34</v>
      </c>
      <c r="Q21" s="237">
        <f>IFERROR(INDEX('2'!C$300:C$400,MATCH("*"&amp;F21&amp;"*",'2'!B$300:B$400,0)),"  ")</f>
        <v>20</v>
      </c>
      <c r="R21" s="237">
        <f>IFERROR(INDEX('3'!C$300:C$400,MATCH("*"&amp;F21&amp;"*",'3'!B$300:B$400,0)),"  ")</f>
        <v>40</v>
      </c>
      <c r="S21" s="237">
        <f>IFERROR(INDEX('4'!C$300:C$400,MATCH("*"&amp;F21&amp;"*",'4'!B$300:B$400,0)),"  ")</f>
        <v>22</v>
      </c>
      <c r="T21" s="237" t="str">
        <f>IFERROR(INDEX('5'!C$300:C$400,MATCH("*"&amp;F21&amp;"*",'5'!B$300:B$400,0)),"  ")</f>
        <v xml:space="preserve">  </v>
      </c>
      <c r="U21" s="237" t="str">
        <f>IFERROR(INDEX('6'!C$300:C$400,MATCH("*"&amp;F21&amp;"*",'6'!B$300:B$400,0)),"  ")</f>
        <v xml:space="preserve">  </v>
      </c>
      <c r="V21" s="237" t="str">
        <f>IFERROR(INDEX('7'!C$300:C$400,MATCH("*"&amp;F21&amp;"*",'7'!B$300:B$400,0)),"  ")</f>
        <v xml:space="preserve">  </v>
      </c>
      <c r="W21" s="237" t="str">
        <f ca="1">IFERROR(INDEX('8'!C$300:C$400,MATCH("*"&amp;F21&amp;"*",'8'!B$300:B$400,0)),"  ")</f>
        <v xml:space="preserve">  </v>
      </c>
      <c r="X21" s="237">
        <f>IFERROR(INDEX('9'!C$300:C$400,MATCH("*"&amp;F21&amp;"*",'9'!B$300:B$400,0)),"  ")</f>
        <v>22</v>
      </c>
      <c r="Y21" s="237">
        <f>IFERROR(INDEX('10'!C$300:C$400,MATCH("*"&amp;F21&amp;"*",'10'!B$300:B$400,0)),"  ")</f>
        <v>34</v>
      </c>
      <c r="Z21" s="236">
        <f>IFERROR(INDEX('11'!C$300:C$400,MATCH("*"&amp;F21&amp;"*",'11'!B$300:B$400,0)),"  ")</f>
        <v>6</v>
      </c>
      <c r="AA21" s="237" t="str">
        <f>IFERROR(INDEX('12'!C$300:C$400,MATCH("*"&amp;F21&amp;"*",'12'!B$300:B$400,0)),"  ")</f>
        <v xml:space="preserve">  </v>
      </c>
      <c r="AB21" s="237" t="str">
        <f>IFERROR(INDEX('13'!C$300:C$400,MATCH("*"&amp;F21&amp;"*",'13'!B$300:B$400,0)),"  ")</f>
        <v xml:space="preserve">  </v>
      </c>
      <c r="AC21" s="239">
        <f t="shared" ca="1" si="10"/>
        <v>7</v>
      </c>
      <c r="AD21" s="239">
        <f t="shared" ca="1" si="11"/>
        <v>3</v>
      </c>
      <c r="AE21" s="239">
        <f t="shared" ca="1" si="12"/>
        <v>1</v>
      </c>
      <c r="AF21" s="240">
        <f t="shared" si="13"/>
        <v>1.1999999999999999E-3</v>
      </c>
      <c r="AG21" s="240">
        <f t="shared" si="14"/>
        <v>5.0000000000000001E-4</v>
      </c>
      <c r="AH21" s="240">
        <f t="shared" ca="1" si="15"/>
        <v>5.9999999999999995E-4</v>
      </c>
      <c r="AI21" s="240" t="e">
        <f t="shared" ca="1" si="16"/>
        <v>#VALUE!</v>
      </c>
      <c r="AJ21" s="171"/>
    </row>
    <row r="22" spans="1:36" x14ac:dyDescent="0.2">
      <c r="A22" s="225" t="str">
        <f t="shared" si="0"/>
        <v/>
      </c>
      <c r="B22" s="226" t="str">
        <f t="shared" si="1"/>
        <v/>
      </c>
      <c r="C22" s="227" t="str">
        <f t="shared" si="2"/>
        <v/>
      </c>
      <c r="D22" s="228" t="str">
        <f t="shared" si="3"/>
        <v/>
      </c>
      <c r="E22" s="229">
        <f t="shared" ca="1" si="4"/>
        <v>15</v>
      </c>
      <c r="F22" s="191" t="s">
        <v>117</v>
      </c>
      <c r="G22" s="230"/>
      <c r="H22" s="231"/>
      <c r="I22" s="232">
        <f t="array" aca="1" ref="I22" ca="1">(IF(COUNT(P22,R22,Y22,AA22)&lt;3,SUM(P22,R22,Y22,AA22),SUM(LARGE((P22,R22,Y22,AA22),{1;2;3}))))+(IF(COUNT(Q22,S22,T22,X22)&lt;3,SUM(Q22,S22,T22,X22),SUM(LARGE((Q22,S22,T22,X22),{1;2;3}))))+(IF(COUNT(U22,V22,W22,Z22,AB22)&lt;3,SUM(U22,V22,W22,Z22,AB22),SUM(LARGE((U22,V22,W22,Z22,AB22),{1;2;3}))))</f>
        <v>174</v>
      </c>
      <c r="J22" s="233" t="str">
        <f ca="1">INDEX(ETAPP!B$1:B$32,MATCH(COUNTIF(P22:AB22,PIV!A$1),ETAPP!A$1:A$32,0))&amp;INDEX(ETAPP!B$1:B$32,MATCH(COUNTIF(P22:AB22,PIV!A$2),ETAPP!A$1:A$32,0))&amp;INDEX(ETAPP!B$1:B$32,MATCH(COUNTIF(P22:AB22,PIV!A$3),ETAPP!A$1:A$32,0))&amp;INDEX(ETAPP!B$1:B$32,MATCH(COUNTIF(P22:AB22,PIV!A$4),ETAPP!A$1:A$32,0))&amp;INDEX(ETAPP!B$1:B$32,MATCH(COUNTIF(P22:AB22,PIV!A$5),ETAPP!A$1:A$32,0))&amp;INDEX(ETAPP!B$1:B$32,MATCH(COUNTIF(P22:AB22,PIV!A$6),ETAPP!A$1:A$32,0))&amp;INDEX(ETAPP!B$1:B$32,MATCH(COUNTIF(P22:AB22,PIV!A$7),ETAPP!A$1:A$32,0))&amp;INDEX(ETAPP!B$1:B$32,MATCH(COUNTIF(P22:AB22,PIV!A$8),ETAPP!A$1:A$32,0))&amp;INDEX(ETAPP!B$1:B$32,MATCH(COUNTIF(P22:AB22,PIV!A$9),ETAPP!A$1:A$32,0))&amp;INDEX(ETAPP!B$1:B$32,MATCH(COUNTIF(P22:AB22,PIV!A$10),ETAPP!A$1:A$32,0))&amp;INDEX(ETAPP!B$1:B$32,MATCH(COUNTIF(P22:AB22,PIV!A$11),ETAPP!A$1:A$32,0))&amp;INDEX(ETAPP!B$1:B$32,MATCH(COUNTIF(P22:AB22,PIV!A$12),ETAPP!A$1:A$32,0))&amp;INDEX(ETAPP!B$1:B$32,MATCH(COUNTIF(P22:AB22,PIV!A$13),ETAPP!A$1:A$32,0))&amp;INDEX(ETAPP!B$1:B$32,MATCH(COUNTIF(P22:AB22,PIV!A$14),ETAPP!A$1:A$32,0))&amp;INDEX(ETAPP!B$1:B$32,MATCH(COUNTIF(P22:AB22,PIV!A$15),ETAPP!A$1:A$32,0))&amp;INDEX(ETAPP!B$1:B$32,MATCH(COUNTIF(P22:AB22,PIV!A$16),ETAPP!A$1:A$32,0))&amp;INDEX(ETAPP!B$1:B$32,MATCH(COUNTIF(P22:AB22,PIV!A$17),ETAPP!A$1:A$32,0))&amp;INDEX(ETAPP!B$1:B$32,MATCH(COUNTIF(P22:AB22,PIV!A$18),ETAPP!A$1:A$32,0))&amp;INDEX(ETAPP!B$1:B$32,MATCH(COUNTIF(P22:AB22,PIV!A$19),ETAPP!A$1:A$32,0))</f>
        <v>00B0A0BB0A0000000AD</v>
      </c>
      <c r="K22" s="233" t="str">
        <f t="shared" ca="1" si="5"/>
        <v>174,0-00B0A0BB0A0000000AD</v>
      </c>
      <c r="L22" s="234">
        <f t="shared" ca="1" si="6"/>
        <v>15</v>
      </c>
      <c r="M22" s="234">
        <f t="shared" si="7"/>
        <v>51</v>
      </c>
      <c r="N22" s="233" t="str">
        <f t="shared" ca="1" si="8"/>
        <v>174,0-00B0A0BB0A0000000AD-051</v>
      </c>
      <c r="O22" s="235">
        <f t="shared" ca="1" si="9"/>
        <v>41</v>
      </c>
      <c r="P22" s="236" t="str">
        <f>IFERROR(INDEX('1'!C$300:C$400,MATCH("*"&amp;F22&amp;"*",'1'!B$300:B$400,0)),"  ")</f>
        <v xml:space="preserve">  </v>
      </c>
      <c r="Q22" s="237">
        <f>IFERROR(INDEX('2'!C$300:C$400,MATCH("*"&amp;F22&amp;"*",'2'!B$300:B$400,0)),"  ")</f>
        <v>14</v>
      </c>
      <c r="R22" s="237">
        <f>IFERROR(INDEX('3'!C$300:C$400,MATCH("*"&amp;F22&amp;"*",'3'!B$300:B$400,0)),"  ")</f>
        <v>24</v>
      </c>
      <c r="S22" s="237" t="str">
        <f>IFERROR(INDEX('4'!C$300:C$400,MATCH("*"&amp;F22&amp;"*",'4'!B$300:B$400,0)),"  ")</f>
        <v xml:space="preserve">  </v>
      </c>
      <c r="T22" s="237" t="str">
        <f>IFERROR(INDEX('5'!C$300:C$400,MATCH("*"&amp;F22&amp;"*",'5'!B$300:B$400,0)),"  ")</f>
        <v xml:space="preserve">  </v>
      </c>
      <c r="U22" s="237">
        <f>IFERROR(INDEX('6'!C$300:C$400,MATCH("*"&amp;F22&amp;"*",'6'!B$300:B$400,0)),"  ")</f>
        <v>20</v>
      </c>
      <c r="V22" s="237">
        <f>IFERROR(INDEX('7'!C$300:C$400,MATCH("*"&amp;F22&amp;"*",'7'!B$300:B$400,0)),"  ")</f>
        <v>18</v>
      </c>
      <c r="W22" s="237" t="str">
        <f ca="1">IFERROR(INDEX('8'!C$300:C$400,MATCH("*"&amp;F22&amp;"*",'8'!B$300:B$400,0)),"  ")</f>
        <v xml:space="preserve">  </v>
      </c>
      <c r="X22" s="237">
        <f>IFERROR(INDEX('9'!C$300:C$400,MATCH("*"&amp;F22&amp;"*",'9'!B$300:B$400,0)),"  ")</f>
        <v>18</v>
      </c>
      <c r="Y22" s="237">
        <f>IFERROR(INDEX('10'!C$300:C$400,MATCH("*"&amp;F22&amp;"*",'10'!B$300:B$400,0)),"  ")</f>
        <v>20</v>
      </c>
      <c r="Z22" s="236">
        <f>IFERROR(INDEX('11'!C$300:C$400,MATCH("*"&amp;F22&amp;"*",'11'!B$300:B$400,0)),"  ")</f>
        <v>30</v>
      </c>
      <c r="AA22" s="237">
        <f>IFERROR(INDEX('12'!C$300:C$400,MATCH("*"&amp;F22&amp;"*",'12'!B$300:B$400,0)),"  ")</f>
        <v>30</v>
      </c>
      <c r="AB22" s="237">
        <f>IFERROR(INDEX('13'!C$300:C$400,MATCH("*"&amp;F22&amp;"*",'13'!B$300:B$400,0)),"  ")</f>
        <v>0</v>
      </c>
      <c r="AC22" s="239">
        <f t="shared" ca="1" si="10"/>
        <v>9</v>
      </c>
      <c r="AD22" s="239">
        <f t="shared" ca="1" si="11"/>
        <v>2</v>
      </c>
      <c r="AE22" s="239">
        <f t="shared" ca="1" si="12"/>
        <v>0</v>
      </c>
      <c r="AF22" s="240">
        <f t="shared" si="13"/>
        <v>1E-4</v>
      </c>
      <c r="AG22" s="240">
        <f t="shared" si="14"/>
        <v>4.0000000000000002E-4</v>
      </c>
      <c r="AH22" s="240">
        <f t="shared" ca="1" si="15"/>
        <v>8.0000000000000004E-4</v>
      </c>
      <c r="AI22" s="240">
        <f t="shared" ca="1" si="16"/>
        <v>1.2999999999999999E-3</v>
      </c>
      <c r="AJ22" s="171"/>
    </row>
    <row r="23" spans="1:36" x14ac:dyDescent="0.2">
      <c r="A23" s="225" t="str">
        <f t="shared" si="0"/>
        <v/>
      </c>
      <c r="B23" s="226" t="str">
        <f t="shared" si="1"/>
        <v/>
      </c>
      <c r="C23" s="227" t="str">
        <f t="shared" si="2"/>
        <v/>
      </c>
      <c r="D23" s="228" t="str">
        <f t="shared" si="3"/>
        <v/>
      </c>
      <c r="E23" s="229">
        <f t="shared" ca="1" si="4"/>
        <v>16</v>
      </c>
      <c r="F23" s="243" t="s">
        <v>109</v>
      </c>
      <c r="G23" s="230"/>
      <c r="H23" s="231"/>
      <c r="I23" s="232">
        <f t="array" aca="1" ref="I23" ca="1">(IF(COUNT(P23,R23,Y23,AA23)&lt;3,SUM(P23,R23,Y23,AA23),SUM(LARGE((P23,R23,Y23,AA23),{1;2;3}))))+(IF(COUNT(Q23,S23,T23,X23)&lt;3,SUM(Q23,S23,T23,X23),SUM(LARGE((Q23,S23,T23,X23),{1;2;3}))))+(IF(COUNT(U23,V23,W23,Z23,AB23)&lt;3,SUM(U23,V23,W23,Z23,AB23),SUM(LARGE((U23,V23,W23,Z23,AB23),{1;2;3}))))</f>
        <v>159</v>
      </c>
      <c r="J23" s="233" t="str">
        <f ca="1">INDEX(ETAPP!B$1:B$32,MATCH(COUNTIF(P23:AB23,PIV!A$1),ETAPP!A$1:A$32,0))&amp;INDEX(ETAPP!B$1:B$32,MATCH(COUNTIF(P23:AB23,PIV!A$2),ETAPP!A$1:A$32,0))&amp;INDEX(ETAPP!B$1:B$32,MATCH(COUNTIF(P23:AB23,PIV!A$3),ETAPP!A$1:A$32,0))&amp;INDEX(ETAPP!B$1:B$32,MATCH(COUNTIF(P23:AB23,PIV!A$4),ETAPP!A$1:A$32,0))&amp;INDEX(ETAPP!B$1:B$32,MATCH(COUNTIF(P23:AB23,PIV!A$5),ETAPP!A$1:A$32,0))&amp;INDEX(ETAPP!B$1:B$32,MATCH(COUNTIF(P23:AB23,PIV!A$6),ETAPP!A$1:A$32,0))&amp;INDEX(ETAPP!B$1:B$32,MATCH(COUNTIF(P23:AB23,PIV!A$7),ETAPP!A$1:A$32,0))&amp;INDEX(ETAPP!B$1:B$32,MATCH(COUNTIF(P23:AB23,PIV!A$8),ETAPP!A$1:A$32,0))&amp;INDEX(ETAPP!B$1:B$32,MATCH(COUNTIF(P23:AB23,PIV!A$9),ETAPP!A$1:A$32,0))&amp;INDEX(ETAPP!B$1:B$32,MATCH(COUNTIF(P23:AB23,PIV!A$10),ETAPP!A$1:A$32,0))&amp;INDEX(ETAPP!B$1:B$32,MATCH(COUNTIF(P23:AB23,PIV!A$11),ETAPP!A$1:A$32,0))&amp;INDEX(ETAPP!B$1:B$32,MATCH(COUNTIF(P23:AB23,PIV!A$12),ETAPP!A$1:A$32,0))&amp;INDEX(ETAPP!B$1:B$32,MATCH(COUNTIF(P23:AB23,PIV!A$13),ETAPP!A$1:A$32,0))&amp;INDEX(ETAPP!B$1:B$32,MATCH(COUNTIF(P23:AB23,PIV!A$14),ETAPP!A$1:A$32,0))&amp;INDEX(ETAPP!B$1:B$32,MATCH(COUNTIF(P23:AB23,PIV!A$15),ETAPP!A$1:A$32,0))&amp;INDEX(ETAPP!B$1:B$32,MATCH(COUNTIF(P23:AB23,PIV!A$16),ETAPP!A$1:A$32,0))&amp;INDEX(ETAPP!B$1:B$32,MATCH(COUNTIF(P23:AB23,PIV!A$17),ETAPP!A$1:A$32,0))&amp;INDEX(ETAPP!B$1:B$32,MATCH(COUNTIF(P23:AB23,PIV!A$18),ETAPP!A$1:A$32,0))&amp;INDEX(ETAPP!B$1:B$32,MATCH(COUNTIF(P23:AB23,PIV!A$19),ETAPP!A$1:A$32,0))</f>
        <v>00ABA0BA000B00A0A0B</v>
      </c>
      <c r="K23" s="233" t="str">
        <f t="shared" ca="1" si="5"/>
        <v>159,0-00ABA0BA000B00A0A0B</v>
      </c>
      <c r="L23" s="234">
        <f t="shared" ca="1" si="6"/>
        <v>16</v>
      </c>
      <c r="M23" s="234">
        <f t="shared" si="7"/>
        <v>47</v>
      </c>
      <c r="N23" s="233" t="str">
        <f t="shared" ca="1" si="8"/>
        <v>159,0-00ABA0BA000B00A0A0B-047</v>
      </c>
      <c r="O23" s="235">
        <f t="shared" ca="1" si="9"/>
        <v>40</v>
      </c>
      <c r="P23" s="236">
        <f>IFERROR(INDEX('1'!C$300:C$400,MATCH("*"&amp;F23&amp;"*",'1'!B$300:B$400,0)),"  ")</f>
        <v>20</v>
      </c>
      <c r="Q23" s="237">
        <f>IFERROR(INDEX('2'!C$300:C$400,MATCH("*"&amp;F23&amp;"*",'2'!B$300:B$400,0)),"  ")</f>
        <v>26</v>
      </c>
      <c r="R23" s="237">
        <f>IFERROR(INDEX('3'!C$300:C$400,MATCH("*"&amp;F23&amp;"*",'3'!B$300:B$400,0)),"  ")</f>
        <v>24</v>
      </c>
      <c r="S23" s="237">
        <f>IFERROR(INDEX('4'!C$300:C$400,MATCH("*"&amp;F23&amp;"*",'4'!B$300:B$400,0)),"  ")</f>
        <v>18</v>
      </c>
      <c r="T23" s="237">
        <f>IFERROR(INDEX('5'!C$300:C$400,MATCH("*"&amp;F23&amp;"*",'5'!B$300:B$400,0)),"  ")</f>
        <v>26</v>
      </c>
      <c r="U23" s="237">
        <f>IFERROR(INDEX('6'!C$300:C$400,MATCH("*"&amp;F23&amp;"*",'6'!B$300:B$400,0)),"  ")</f>
        <v>4</v>
      </c>
      <c r="V23" s="237">
        <f>IFERROR(INDEX('7'!C$300:C$400,MATCH("*"&amp;F23&amp;"*",'7'!B$300:B$400,0)),"  ")</f>
        <v>10</v>
      </c>
      <c r="W23" s="237" t="str">
        <f ca="1">IFERROR(INDEX('8'!C$300:C$400,MATCH("*"&amp;F23&amp;"*",'8'!B$300:B$400,0)),"  ")</f>
        <v xml:space="preserve">  </v>
      </c>
      <c r="X23" s="237">
        <f>IFERROR(INDEX('9'!C$300:C$400,MATCH("*"&amp;F23&amp;"*",'9'!B$300:B$400,0)),"  ")</f>
        <v>10</v>
      </c>
      <c r="Y23" s="237">
        <f>IFERROR(INDEX('10'!C$300:C$400,MATCH("*"&amp;F23&amp;"*",'10'!B$300:B$400,0)),"  ")</f>
        <v>20</v>
      </c>
      <c r="Z23" s="236" t="str">
        <f>IFERROR(INDEX('11'!C$300:C$400,MATCH("*"&amp;F23&amp;"*",'11'!B$300:B$400,0)),"  ")</f>
        <v xml:space="preserve">  </v>
      </c>
      <c r="AA23" s="237">
        <f>IFERROR(INDEX('12'!C$300:C$400,MATCH("*"&amp;F23&amp;"*",'12'!B$300:B$400,0)),"  ")</f>
        <v>30</v>
      </c>
      <c r="AB23" s="237">
        <f>IFERROR(INDEX('13'!C$300:C$400,MATCH("*"&amp;F23&amp;"*",'13'!B$300:B$400,0)),"  ")</f>
        <v>1</v>
      </c>
      <c r="AC23" s="239">
        <f t="shared" ca="1" si="10"/>
        <v>11</v>
      </c>
      <c r="AD23" s="239">
        <f t="shared" ca="1" si="11"/>
        <v>1</v>
      </c>
      <c r="AE23" s="239">
        <f t="shared" ca="1" si="12"/>
        <v>0</v>
      </c>
      <c r="AF23" s="240">
        <f t="shared" si="13"/>
        <v>20.0001</v>
      </c>
      <c r="AG23" s="240">
        <f t="shared" si="14"/>
        <v>10.0009</v>
      </c>
      <c r="AH23" s="240">
        <f t="shared" ca="1" si="15"/>
        <v>8.0000000000000004E-4</v>
      </c>
      <c r="AI23" s="240">
        <f t="shared" ca="1" si="16"/>
        <v>1.1000000000000001E-3</v>
      </c>
      <c r="AJ23" s="171"/>
    </row>
    <row r="24" spans="1:36" x14ac:dyDescent="0.2">
      <c r="A24" s="225" t="str">
        <f t="shared" si="0"/>
        <v/>
      </c>
      <c r="B24" s="226" t="str">
        <f t="shared" si="1"/>
        <v/>
      </c>
      <c r="C24" s="227" t="str">
        <f t="shared" si="2"/>
        <v/>
      </c>
      <c r="D24" s="228" t="str">
        <f t="shared" si="3"/>
        <v/>
      </c>
      <c r="E24" s="229">
        <f t="shared" ca="1" si="4"/>
        <v>17</v>
      </c>
      <c r="F24" s="994" t="s">
        <v>152</v>
      </c>
      <c r="G24" s="211"/>
      <c r="H24" s="241"/>
      <c r="I24" s="232">
        <f t="array" aca="1" ref="I24" ca="1">(IF(COUNT(P24,R24,Y24,AA24)&lt;3,SUM(P24,R24,Y24,AA24),SUM(LARGE((P24,R24,Y24,AA24),{1;2;3}))))+(IF(COUNT(Q24,S24,T24,X24)&lt;3,SUM(Q24,S24,T24,X24),SUM(LARGE((Q24,S24,T24,X24),{1;2;3}))))+(IF(COUNT(U24,V24,W24,Z24,AB24)&lt;3,SUM(U24,V24,W24,Z24,AB24),SUM(LARGE((U24,V24,W24,Z24,AB24),{1;2;3}))))</f>
        <v>156</v>
      </c>
      <c r="J24" s="233" t="str">
        <f ca="1">INDEX(ETAPP!B$1:B$32,MATCH(COUNTIF(P24:AB24,PIV!A$1),ETAPP!A$1:A$32,0))&amp;INDEX(ETAPP!B$1:B$32,MATCH(COUNTIF(P24:AB24,PIV!A$2),ETAPP!A$1:A$32,0))&amp;INDEX(ETAPP!B$1:B$32,MATCH(COUNTIF(P24:AB24,PIV!A$3),ETAPP!A$1:A$32,0))&amp;INDEX(ETAPP!B$1:B$32,MATCH(COUNTIF(P24:AB24,PIV!A$4),ETAPP!A$1:A$32,0))&amp;INDEX(ETAPP!B$1:B$32,MATCH(COUNTIF(P24:AB24,PIV!A$5),ETAPP!A$1:A$32,0))&amp;INDEX(ETAPP!B$1:B$32,MATCH(COUNTIF(P24:AB24,PIV!A$6),ETAPP!A$1:A$32,0))&amp;INDEX(ETAPP!B$1:B$32,MATCH(COUNTIF(P24:AB24,PIV!A$7),ETAPP!A$1:A$32,0))&amp;INDEX(ETAPP!B$1:B$32,MATCH(COUNTIF(P24:AB24,PIV!A$8),ETAPP!A$1:A$32,0))&amp;INDEX(ETAPP!B$1:B$32,MATCH(COUNTIF(P24:AB24,PIV!A$9),ETAPP!A$1:A$32,0))&amp;INDEX(ETAPP!B$1:B$32,MATCH(COUNTIF(P24:AB24,PIV!A$10),ETAPP!A$1:A$32,0))&amp;INDEX(ETAPP!B$1:B$32,MATCH(COUNTIF(P24:AB24,PIV!A$11),ETAPP!A$1:A$32,0))&amp;INDEX(ETAPP!B$1:B$32,MATCH(COUNTIF(P24:AB24,PIV!A$12),ETAPP!A$1:A$32,0))&amp;INDEX(ETAPP!B$1:B$32,MATCH(COUNTIF(P24:AB24,PIV!A$13),ETAPP!A$1:A$32,0))&amp;INDEX(ETAPP!B$1:B$32,MATCH(COUNTIF(P24:AB24,PIV!A$14),ETAPP!A$1:A$32,0))&amp;INDEX(ETAPP!B$1:B$32,MATCH(COUNTIF(P24:AB24,PIV!A$15),ETAPP!A$1:A$32,0))&amp;INDEX(ETAPP!B$1:B$32,MATCH(COUNTIF(P24:AB24,PIV!A$16),ETAPP!A$1:A$32,0))&amp;INDEX(ETAPP!B$1:B$32,MATCH(COUNTIF(P24:AB24,PIV!A$17),ETAPP!A$1:A$32,0))&amp;INDEX(ETAPP!B$1:B$32,MATCH(COUNTIF(P24:AB24,PIV!A$18),ETAPP!A$1:A$32,0))&amp;INDEX(ETAPP!B$1:B$32,MATCH(COUNTIF(P24:AB24,PIV!A$19),ETAPP!A$1:A$32,0))</f>
        <v>00AAACA00A000AA000C</v>
      </c>
      <c r="K24" s="233" t="str">
        <f t="shared" ca="1" si="5"/>
        <v>156,0-00AAACA00A000AA000C</v>
      </c>
      <c r="L24" s="234">
        <f t="shared" ca="1" si="6"/>
        <v>17</v>
      </c>
      <c r="M24" s="234">
        <f t="shared" si="7"/>
        <v>15</v>
      </c>
      <c r="N24" s="233" t="str">
        <f t="shared" ca="1" si="8"/>
        <v>156,0-00AAACA00A000AA000C-015</v>
      </c>
      <c r="O24" s="235">
        <f t="shared" ca="1" si="9"/>
        <v>39</v>
      </c>
      <c r="P24" s="236">
        <f>IFERROR(INDEX('1'!C$300:C$400,MATCH("*"&amp;F24&amp;"*",'1'!B$300:B$400,0)),"  ")</f>
        <v>26</v>
      </c>
      <c r="Q24" s="237">
        <f>IFERROR(INDEX('2'!C$300:C$400,MATCH("*"&amp;F24&amp;"*",'2'!B$300:B$400,0)),"  ")</f>
        <v>20</v>
      </c>
      <c r="R24" s="237">
        <f>IFERROR(INDEX('3'!C$300:C$400,MATCH("*"&amp;F24&amp;"*",'3'!B$300:B$400,0)),"  ")</f>
        <v>14</v>
      </c>
      <c r="S24" s="237">
        <f>IFERROR(INDEX('4'!C$300:C$400,MATCH("*"&amp;F24&amp;"*",'4'!B$300:B$400,0)),"  ")</f>
        <v>22</v>
      </c>
      <c r="T24" s="237">
        <f>IFERROR(INDEX('5'!C$300:C$400,MATCH("*"&amp;F24&amp;"*",'5'!B$300:B$400,0)),"  ")</f>
        <v>30</v>
      </c>
      <c r="U24" s="237" t="str">
        <f>IFERROR(INDEX('6'!C$300:C$400,MATCH("*"&amp;F24&amp;"*",'6'!B$300:B$400,0)),"  ")</f>
        <v xml:space="preserve">  </v>
      </c>
      <c r="V24" s="237" t="str">
        <f>IFERROR(INDEX('7'!C$300:C$400,MATCH("*"&amp;F24&amp;"*",'7'!B$300:B$400,0)),"  ")</f>
        <v xml:space="preserve">  </v>
      </c>
      <c r="W24" s="237" t="str">
        <f ca="1">IFERROR(INDEX('8'!C$300:C$400,MATCH("*"&amp;F24&amp;"*",'8'!B$300:B$400,0)),"  ")</f>
        <v xml:space="preserve">  </v>
      </c>
      <c r="X24" s="237">
        <f>IFERROR(INDEX('9'!C$300:C$400,MATCH("*"&amp;F24&amp;"*",'9'!B$300:B$400,0)),"  ")</f>
        <v>22</v>
      </c>
      <c r="Y24" s="237">
        <f>IFERROR(INDEX('10'!C$300:C$400,MATCH("*"&amp;F24&amp;"*",'10'!B$300:B$400,0)),"  ")</f>
        <v>24</v>
      </c>
      <c r="Z24" s="236">
        <f>IFERROR(INDEX('11'!C$300:C$400,MATCH("*"&amp;F24&amp;"*",'11'!B$300:B$400,0)),"  ")</f>
        <v>4</v>
      </c>
      <c r="AA24" s="237">
        <f>IFERROR(INDEX('12'!C$300:C$400,MATCH("*"&amp;F24&amp;"*",'12'!B$300:B$400,0)),"  ")</f>
        <v>22</v>
      </c>
      <c r="AB24" s="237">
        <f>IFERROR(INDEX('13'!C$300:C$400,MATCH("*"&amp;F24&amp;"*",'13'!B$300:B$400,0)),"  ")</f>
        <v>6</v>
      </c>
      <c r="AC24" s="239">
        <f t="shared" ca="1" si="10"/>
        <v>10</v>
      </c>
      <c r="AD24" s="239">
        <f t="shared" ca="1" si="11"/>
        <v>1</v>
      </c>
      <c r="AE24" s="239">
        <f t="shared" ca="1" si="12"/>
        <v>0</v>
      </c>
      <c r="AF24" s="240">
        <f t="shared" si="13"/>
        <v>14.000299999999999</v>
      </c>
      <c r="AG24" s="240">
        <f t="shared" si="14"/>
        <v>20.0002</v>
      </c>
      <c r="AH24" s="240">
        <f t="shared" ca="1" si="15"/>
        <v>5.9999999999999995E-4</v>
      </c>
      <c r="AI24" s="240" t="e">
        <f t="shared" ca="1" si="16"/>
        <v>#VALUE!</v>
      </c>
      <c r="AJ24" s="171"/>
    </row>
    <row r="25" spans="1:36" x14ac:dyDescent="0.2">
      <c r="A25" s="225" t="str">
        <f t="shared" si="0"/>
        <v/>
      </c>
      <c r="B25" s="226" t="str">
        <f t="shared" si="1"/>
        <v/>
      </c>
      <c r="C25" s="227" t="str">
        <f t="shared" si="2"/>
        <v/>
      </c>
      <c r="D25" s="228" t="str">
        <f t="shared" si="3"/>
        <v/>
      </c>
      <c r="E25" s="229">
        <f t="shared" ca="1" si="4"/>
        <v>18</v>
      </c>
      <c r="F25" s="243" t="s">
        <v>114</v>
      </c>
      <c r="G25" s="230"/>
      <c r="H25" s="231"/>
      <c r="I25" s="232">
        <f t="array" aca="1" ref="I25" ca="1">(IF(COUNT(P25,R25,Y25,AA25)&lt;3,SUM(P25,R25,Y25,AA25),SUM(LARGE((P25,R25,Y25,AA25),{1;2;3}))))+(IF(COUNT(Q25,S25,T25,X25)&lt;3,SUM(Q25,S25,T25,X25),SUM(LARGE((Q25,S25,T25,X25),{1;2;3}))))+(IF(COUNT(U25,V25,W25,Z25,AB25)&lt;3,SUM(U25,V25,W25,Z25,AB25),SUM(LARGE((U25,V25,W25,Z25,AB25),{1;2;3}))))</f>
        <v>150</v>
      </c>
      <c r="J25" s="233" t="str">
        <f ca="1">INDEX(ETAPP!B$1:B$32,MATCH(COUNTIF(P25:AB25,PIV!A$1),ETAPP!A$1:A$32,0))&amp;INDEX(ETAPP!B$1:B$32,MATCH(COUNTIF(P25:AB25,PIV!A$2),ETAPP!A$1:A$32,0))&amp;INDEX(ETAPP!B$1:B$32,MATCH(COUNTIF(P25:AB25,PIV!A$3),ETAPP!A$1:A$32,0))&amp;INDEX(ETAPP!B$1:B$32,MATCH(COUNTIF(P25:AB25,PIV!A$4),ETAPP!A$1:A$32,0))&amp;INDEX(ETAPP!B$1:B$32,MATCH(COUNTIF(P25:AB25,PIV!A$5),ETAPP!A$1:A$32,0))&amp;INDEX(ETAPP!B$1:B$32,MATCH(COUNTIF(P25:AB25,PIV!A$6),ETAPP!A$1:A$32,0))&amp;INDEX(ETAPP!B$1:B$32,MATCH(COUNTIF(P25:AB25,PIV!A$7),ETAPP!A$1:A$32,0))&amp;INDEX(ETAPP!B$1:B$32,MATCH(COUNTIF(P25:AB25,PIV!A$8),ETAPP!A$1:A$32,0))&amp;INDEX(ETAPP!B$1:B$32,MATCH(COUNTIF(P25:AB25,PIV!A$9),ETAPP!A$1:A$32,0))&amp;INDEX(ETAPP!B$1:B$32,MATCH(COUNTIF(P25:AB25,PIV!A$10),ETAPP!A$1:A$32,0))&amp;INDEX(ETAPP!B$1:B$32,MATCH(COUNTIF(P25:AB25,PIV!A$11),ETAPP!A$1:A$32,0))&amp;INDEX(ETAPP!B$1:B$32,MATCH(COUNTIF(P25:AB25,PIV!A$12),ETAPP!A$1:A$32,0))&amp;INDEX(ETAPP!B$1:B$32,MATCH(COUNTIF(P25:AB25,PIV!A$13),ETAPP!A$1:A$32,0))&amp;INDEX(ETAPP!B$1:B$32,MATCH(COUNTIF(P25:AB25,PIV!A$14),ETAPP!A$1:A$32,0))&amp;INDEX(ETAPP!B$1:B$32,MATCH(COUNTIF(P25:AB25,PIV!A$15),ETAPP!A$1:A$32,0))&amp;INDEX(ETAPP!B$1:B$32,MATCH(COUNTIF(P25:AB25,PIV!A$16),ETAPP!A$1:A$32,0))&amp;INDEX(ETAPP!B$1:B$32,MATCH(COUNTIF(P25:AB25,PIV!A$17),ETAPP!A$1:A$32,0))&amp;INDEX(ETAPP!B$1:B$32,MATCH(COUNTIF(P25:AB25,PIV!A$18),ETAPP!A$1:A$32,0))&amp;INDEX(ETAPP!B$1:B$32,MATCH(COUNTIF(P25:AB25,PIV!A$19),ETAPP!A$1:A$32,0))</f>
        <v>00AB0A0A0AA00000B0D</v>
      </c>
      <c r="K25" s="233" t="str">
        <f t="shared" ca="1" si="5"/>
        <v>150,0-00AB0A0A0AA00000B0D</v>
      </c>
      <c r="L25" s="234">
        <f t="shared" ca="1" si="6"/>
        <v>18</v>
      </c>
      <c r="M25" s="234">
        <f t="shared" si="7"/>
        <v>36</v>
      </c>
      <c r="N25" s="233" t="str">
        <f t="shared" ca="1" si="8"/>
        <v>150,0-00AB0A0A0AA00000B0D-036</v>
      </c>
      <c r="O25" s="235">
        <f t="shared" ca="1" si="9"/>
        <v>38</v>
      </c>
      <c r="P25" s="236">
        <f>IFERROR(INDEX('1'!C$300:C$400,MATCH("*"&amp;F25&amp;"*",'1'!B$300:B$400,0)),"  ")</f>
        <v>22</v>
      </c>
      <c r="Q25" s="237" t="str">
        <f>IFERROR(INDEX('2'!C$300:C$400,MATCH("*"&amp;F25&amp;"*",'2'!B$300:B$400,0)),"  ")</f>
        <v xml:space="preserve">  </v>
      </c>
      <c r="R25" s="237">
        <f>IFERROR(INDEX('3'!C$300:C$400,MATCH("*"&amp;F25&amp;"*",'3'!B$300:B$400,0)),"  ")</f>
        <v>30</v>
      </c>
      <c r="S25" s="237">
        <f>IFERROR(INDEX('4'!C$300:C$400,MATCH("*"&amp;F25&amp;"*",'4'!B$300:B$400,0)),"  ")</f>
        <v>26</v>
      </c>
      <c r="T25" s="237">
        <f>IFERROR(INDEX('5'!C$300:C$400,MATCH("*"&amp;F25&amp;"*",'5'!B$300:B$400,0)),"  ")</f>
        <v>18</v>
      </c>
      <c r="U25" s="237">
        <f>IFERROR(INDEX('6'!C$300:C$400,MATCH("*"&amp;F25&amp;"*",'6'!B$300:B$400,0)),"  ")</f>
        <v>14</v>
      </c>
      <c r="V25" s="237">
        <f>IFERROR(INDEX('7'!C$300:C$400,MATCH("*"&amp;F25&amp;"*",'7'!B$300:B$400,0)),"  ")</f>
        <v>1</v>
      </c>
      <c r="W25" s="237" t="str">
        <f ca="1">IFERROR(INDEX('8'!C$300:C$400,MATCH("*"&amp;F25&amp;"*",'8'!B$300:B$400,0)),"  ")</f>
        <v xml:space="preserve">  </v>
      </c>
      <c r="X25" s="237">
        <f>IFERROR(INDEX('9'!C$300:C$400,MATCH("*"&amp;F25&amp;"*",'9'!B$300:B$400,0)),"  ")</f>
        <v>12</v>
      </c>
      <c r="Y25" s="237">
        <f>IFERROR(INDEX('10'!C$300:C$400,MATCH("*"&amp;F25&amp;"*",'10'!B$300:B$400,0)),"  ")</f>
        <v>26</v>
      </c>
      <c r="Z25" s="236">
        <f>IFERROR(INDEX('11'!C$300:C$400,MATCH("*"&amp;F25&amp;"*",'11'!B$300:B$400,0)),"  ")</f>
        <v>1</v>
      </c>
      <c r="AA25" s="237" t="str">
        <f>IFERROR(INDEX('12'!C$300:C$400,MATCH("*"&amp;F25&amp;"*",'12'!B$300:B$400,0)),"  ")</f>
        <v xml:space="preserve">  </v>
      </c>
      <c r="AB25" s="237" t="str">
        <f>IFERROR(INDEX('13'!C$300:C$400,MATCH("*"&amp;F25&amp;"*",'13'!B$300:B$400,0)),"  ")</f>
        <v xml:space="preserve">  </v>
      </c>
      <c r="AC25" s="239">
        <f t="shared" ca="1" si="10"/>
        <v>9</v>
      </c>
      <c r="AD25" s="239">
        <f t="shared" ca="1" si="11"/>
        <v>1</v>
      </c>
      <c r="AE25" s="239">
        <f t="shared" ca="1" si="12"/>
        <v>0</v>
      </c>
      <c r="AF25" s="240">
        <f t="shared" si="13"/>
        <v>1.1999999999999999E-3</v>
      </c>
      <c r="AG25" s="240">
        <f t="shared" si="14"/>
        <v>2.0000000000000001E-4</v>
      </c>
      <c r="AH25" s="240">
        <f t="shared" ca="1" si="15"/>
        <v>8.0000000000000004E-4</v>
      </c>
      <c r="AI25" s="240">
        <f t="shared" ca="1" si="16"/>
        <v>1.2999999999999999E-3</v>
      </c>
      <c r="AJ25" s="171"/>
    </row>
    <row r="26" spans="1:36" x14ac:dyDescent="0.2">
      <c r="A26" s="225">
        <f t="shared" ca="1" si="0"/>
        <v>2</v>
      </c>
      <c r="B26" s="226">
        <f t="shared" ca="1" si="1"/>
        <v>19</v>
      </c>
      <c r="C26" s="227" t="str">
        <f t="shared" si="2"/>
        <v/>
      </c>
      <c r="D26" s="228" t="str">
        <f t="shared" si="3"/>
        <v/>
      </c>
      <c r="E26" s="229">
        <f t="shared" ca="1" si="4"/>
        <v>19</v>
      </c>
      <c r="F26" s="247" t="s">
        <v>137</v>
      </c>
      <c r="G26" s="230" t="s">
        <v>119</v>
      </c>
      <c r="H26" s="231"/>
      <c r="I26" s="232">
        <f t="array" aca="1" ref="I26" ca="1">(IF(COUNT(P26,R26,Y26,AA26)&lt;3,SUM(P26,R26,Y26,AA26),SUM(LARGE((P26,R26,Y26,AA26),{1;2;3}))))+(IF(COUNT(Q26,S26,T26,X26)&lt;3,SUM(Q26,S26,T26,X26),SUM(LARGE((Q26,S26,T26,X26),{1;2;3}))))+(IF(COUNT(U26,V26,W26,Z26,AB26)&lt;3,SUM(U26,V26,W26,Z26,AB26),SUM(LARGE((U26,V26,W26,Z26,AB26),{1;2;3}))))</f>
        <v>149</v>
      </c>
      <c r="J26" s="233" t="str">
        <f ca="1">INDEX(ETAPP!B$1:B$32,MATCH(COUNTIF(P26:AB26,PIV!A$1),ETAPP!A$1:A$32,0))&amp;INDEX(ETAPP!B$1:B$32,MATCH(COUNTIF(P26:AB26,PIV!A$2),ETAPP!A$1:A$32,0))&amp;INDEX(ETAPP!B$1:B$32,MATCH(COUNTIF(P26:AB26,PIV!A$3),ETAPP!A$1:A$32,0))&amp;INDEX(ETAPP!B$1:B$32,MATCH(COUNTIF(P26:AB26,PIV!A$4),ETAPP!A$1:A$32,0))&amp;INDEX(ETAPP!B$1:B$32,MATCH(COUNTIF(P26:AB26,PIV!A$5),ETAPP!A$1:A$32,0))&amp;INDEX(ETAPP!B$1:B$32,MATCH(COUNTIF(P26:AB26,PIV!A$6),ETAPP!A$1:A$32,0))&amp;INDEX(ETAPP!B$1:B$32,MATCH(COUNTIF(P26:AB26,PIV!A$7),ETAPP!A$1:A$32,0))&amp;INDEX(ETAPP!B$1:B$32,MATCH(COUNTIF(P26:AB26,PIV!A$8),ETAPP!A$1:A$32,0))&amp;INDEX(ETAPP!B$1:B$32,MATCH(COUNTIF(P26:AB26,PIV!A$9),ETAPP!A$1:A$32,0))&amp;INDEX(ETAPP!B$1:B$32,MATCH(COUNTIF(P26:AB26,PIV!A$10),ETAPP!A$1:A$32,0))&amp;INDEX(ETAPP!B$1:B$32,MATCH(COUNTIF(P26:AB26,PIV!A$11),ETAPP!A$1:A$32,0))&amp;INDEX(ETAPP!B$1:B$32,MATCH(COUNTIF(P26:AB26,PIV!A$12),ETAPP!A$1:A$32,0))&amp;INDEX(ETAPP!B$1:B$32,MATCH(COUNTIF(P26:AB26,PIV!A$13),ETAPP!A$1:A$32,0))&amp;INDEX(ETAPP!B$1:B$32,MATCH(COUNTIF(P26:AB26,PIV!A$14),ETAPP!A$1:A$32,0))&amp;INDEX(ETAPP!B$1:B$32,MATCH(COUNTIF(P26:AB26,PIV!A$15),ETAPP!A$1:A$32,0))&amp;INDEX(ETAPP!B$1:B$32,MATCH(COUNTIF(P26:AB26,PIV!A$16),ETAPP!A$1:A$32,0))&amp;INDEX(ETAPP!B$1:B$32,MATCH(COUNTIF(P26:AB26,PIV!A$17),ETAPP!A$1:A$32,0))&amp;INDEX(ETAPP!B$1:B$32,MATCH(COUNTIF(P26:AB26,PIV!A$18),ETAPP!A$1:A$32,0))&amp;INDEX(ETAPP!B$1:B$32,MATCH(COUNTIF(P26:AB26,PIV!A$19),ETAPP!A$1:A$32,0))</f>
        <v>A0000AABAA000000B0D</v>
      </c>
      <c r="K26" s="233" t="str">
        <f t="shared" ca="1" si="5"/>
        <v>149,0-A0000AABAA000000B0D</v>
      </c>
      <c r="L26" s="234">
        <f t="shared" ca="1" si="6"/>
        <v>19</v>
      </c>
      <c r="M26" s="234">
        <f t="shared" si="7"/>
        <v>27</v>
      </c>
      <c r="N26" s="233" t="str">
        <f t="shared" ca="1" si="8"/>
        <v>149,0-A0000AABAA000000B0D-027</v>
      </c>
      <c r="O26" s="235">
        <f t="shared" ca="1" si="9"/>
        <v>37</v>
      </c>
      <c r="P26" s="236" t="str">
        <f>IFERROR(INDEX('1'!C$300:C$400,MATCH("*"&amp;F26&amp;"*",'1'!B$300:B$400,0)),"  ")</f>
        <v xml:space="preserve">  </v>
      </c>
      <c r="Q26" s="237">
        <f>IFERROR(INDEX('2'!C$300:C$400,MATCH("*"&amp;F26&amp;"*",'2'!B$300:B$400,0)),"  ")</f>
        <v>16</v>
      </c>
      <c r="R26" s="237">
        <f>IFERROR(INDEX('3'!C$300:C$400,MATCH("*"&amp;F26&amp;"*",'3'!B$300:B$400,0)),"  ")</f>
        <v>22</v>
      </c>
      <c r="S26" s="237">
        <f>IFERROR(INDEX('4'!C$300:C$400,MATCH("*"&amp;F26&amp;"*",'4'!B$300:B$400,0)),"  ")</f>
        <v>20</v>
      </c>
      <c r="T26" s="237" t="str">
        <f>IFERROR(INDEX('5'!C$300:C$400,MATCH("*"&amp;F26&amp;"*",'5'!B$300:B$400,0)),"  ")</f>
        <v xml:space="preserve">  </v>
      </c>
      <c r="U26" s="237">
        <f>IFERROR(INDEX('6'!C$300:C$400,MATCH("*"&amp;F26&amp;"*",'6'!B$300:B$400,0)),"  ")</f>
        <v>18</v>
      </c>
      <c r="V26" s="237">
        <f>IFERROR(INDEX('7'!C$300:C$400,MATCH("*"&amp;F26&amp;"*",'7'!B$300:B$400,0)),"  ")</f>
        <v>1</v>
      </c>
      <c r="W26" s="237" t="str">
        <f ca="1">IFERROR(INDEX('8'!C$300:C$400,MATCH("*"&amp;F26&amp;"*",'8'!B$300:B$400,0)),"  ")</f>
        <v xml:space="preserve">  </v>
      </c>
      <c r="X26" s="237">
        <f>IFERROR(INDEX('9'!C$300:C$400,MATCH("*"&amp;F26&amp;"*",'9'!B$300:B$400,0)),"  ")</f>
        <v>14</v>
      </c>
      <c r="Y26" s="237">
        <f>IFERROR(INDEX('10'!C$300:C$400,MATCH("*"&amp;F26&amp;"*",'10'!B$300:B$400,0)),"  ")</f>
        <v>40</v>
      </c>
      <c r="Z26" s="236">
        <f>IFERROR(INDEX('11'!C$300:C$400,MATCH("*"&amp;F26&amp;"*",'11'!B$300:B$400,0)),"  ")</f>
        <v>18</v>
      </c>
      <c r="AA26" s="237" t="str">
        <f>IFERROR(INDEX('12'!C$300:C$400,MATCH("*"&amp;F26&amp;"*",'12'!B$300:B$400,0)),"  ")</f>
        <v xml:space="preserve">  </v>
      </c>
      <c r="AB26" s="237">
        <f>IFERROR(INDEX('13'!C$300:C$400,MATCH("*"&amp;F26&amp;"*",'13'!B$300:B$400,0)),"  ")</f>
        <v>1</v>
      </c>
      <c r="AC26" s="239">
        <f t="shared" ca="1" si="10"/>
        <v>9</v>
      </c>
      <c r="AD26" s="239">
        <f t="shared" ca="1" si="11"/>
        <v>1</v>
      </c>
      <c r="AE26" s="239">
        <f t="shared" ca="1" si="12"/>
        <v>1</v>
      </c>
      <c r="AF26" s="240">
        <f t="shared" si="13"/>
        <v>1E-4</v>
      </c>
      <c r="AG26" s="240">
        <f t="shared" si="14"/>
        <v>5.0000000000000001E-4</v>
      </c>
      <c r="AH26" s="240">
        <f t="shared" ca="1" si="15"/>
        <v>8.0000000000000004E-4</v>
      </c>
      <c r="AI26" s="240">
        <f t="shared" ca="1" si="16"/>
        <v>1.0006999999999999</v>
      </c>
      <c r="AJ26" s="171"/>
    </row>
    <row r="27" spans="1:36" x14ac:dyDescent="0.2">
      <c r="A27" s="225" t="str">
        <f t="shared" si="0"/>
        <v/>
      </c>
      <c r="B27" s="226" t="str">
        <f t="shared" si="1"/>
        <v/>
      </c>
      <c r="C27" s="227" t="str">
        <f t="shared" si="2"/>
        <v/>
      </c>
      <c r="D27" s="228" t="str">
        <f t="shared" si="3"/>
        <v/>
      </c>
      <c r="E27" s="248">
        <f t="shared" ca="1" si="4"/>
        <v>20</v>
      </c>
      <c r="F27" s="242" t="s">
        <v>120</v>
      </c>
      <c r="G27" s="249"/>
      <c r="H27" s="231"/>
      <c r="I27" s="232">
        <f t="array" aca="1" ref="I27" ca="1">(IF(COUNT(P27,R27,Y27,AA27)&lt;3,SUM(P27,R27,Y27,AA27),SUM(LARGE((P27,R27,Y27,AA27),{1;2;3}))))+(IF(COUNT(Q27,S27,T27,X27)&lt;3,SUM(Q27,S27,T27,X27),SUM(LARGE((Q27,S27,T27,X27),{1;2;3}))))+(IF(COUNT(U27,V27,W27,Z27,AB27)&lt;3,SUM(U27,V27,W27,Z27,AB27),SUM(LARGE((U27,V27,W27,Z27,AB27),{1;2;3}))))</f>
        <v>132</v>
      </c>
      <c r="J27" s="233" t="str">
        <f ca="1">INDEX(ETAPP!B$1:B$32,MATCH(COUNTIF(P27:AB27,PIV!A$1),ETAPP!A$1:A$32,0))&amp;INDEX(ETAPP!B$1:B$32,MATCH(COUNTIF(P27:AB27,PIV!A$2),ETAPP!A$1:A$32,0))&amp;INDEX(ETAPP!B$1:B$32,MATCH(COUNTIF(P27:AB27,PIV!A$3),ETAPP!A$1:A$32,0))&amp;INDEX(ETAPP!B$1:B$32,MATCH(COUNTIF(P27:AB27,PIV!A$4),ETAPP!A$1:A$32,0))&amp;INDEX(ETAPP!B$1:B$32,MATCH(COUNTIF(P27:AB27,PIV!A$5),ETAPP!A$1:A$32,0))&amp;INDEX(ETAPP!B$1:B$32,MATCH(COUNTIF(P27:AB27,PIV!A$6),ETAPP!A$1:A$32,0))&amp;INDEX(ETAPP!B$1:B$32,MATCH(COUNTIF(P27:AB27,PIV!A$7),ETAPP!A$1:A$32,0))&amp;INDEX(ETAPP!B$1:B$32,MATCH(COUNTIF(P27:AB27,PIV!A$8),ETAPP!A$1:A$32,0))&amp;INDEX(ETAPP!B$1:B$32,MATCH(COUNTIF(P27:AB27,PIV!A$9),ETAPP!A$1:A$32,0))&amp;INDEX(ETAPP!B$1:B$32,MATCH(COUNTIF(P27:AB27,PIV!A$10),ETAPP!A$1:A$32,0))&amp;INDEX(ETAPP!B$1:B$32,MATCH(COUNTIF(P27:AB27,PIV!A$11),ETAPP!A$1:A$32,0))&amp;INDEX(ETAPP!B$1:B$32,MATCH(COUNTIF(P27:AB27,PIV!A$12),ETAPP!A$1:A$32,0))&amp;INDEX(ETAPP!B$1:B$32,MATCH(COUNTIF(P27:AB27,PIV!A$13),ETAPP!A$1:A$32,0))&amp;INDEX(ETAPP!B$1:B$32,MATCH(COUNTIF(P27:AB27,PIV!A$14),ETAPP!A$1:A$32,0))&amp;INDEX(ETAPP!B$1:B$32,MATCH(COUNTIF(P27:AB27,PIV!A$15),ETAPP!A$1:A$32,0))&amp;INDEX(ETAPP!B$1:B$32,MATCH(COUNTIF(P27:AB27,PIV!A$16),ETAPP!A$1:A$32,0))&amp;INDEX(ETAPP!B$1:B$32,MATCH(COUNTIF(P27:AB27,PIV!A$17),ETAPP!A$1:A$32,0))&amp;INDEX(ETAPP!B$1:B$32,MATCH(COUNTIF(P27:AB27,PIV!A$18),ETAPP!A$1:A$32,0))&amp;INDEX(ETAPP!B$1:B$32,MATCH(COUNTIF(P27:AB27,PIV!A$19),ETAPP!A$1:A$32,0))</f>
        <v>A000AA0BA0A0000000F</v>
      </c>
      <c r="K27" s="233" t="str">
        <f t="shared" ca="1" si="5"/>
        <v>132,0-A000AA0BA0A0000000F</v>
      </c>
      <c r="L27" s="234">
        <f t="shared" ca="1" si="6"/>
        <v>20</v>
      </c>
      <c r="M27" s="234">
        <f t="shared" si="7"/>
        <v>7</v>
      </c>
      <c r="N27" s="233" t="str">
        <f t="shared" ca="1" si="8"/>
        <v>132,0-A000AA0BA0A0000000F-007</v>
      </c>
      <c r="O27" s="235">
        <f t="shared" ca="1" si="9"/>
        <v>36</v>
      </c>
      <c r="P27" s="236">
        <f>IFERROR(INDEX('1'!C$300:C$400,MATCH("*"&amp;F27&amp;"*",'1'!B$300:B$400,0)),"  ")</f>
        <v>18</v>
      </c>
      <c r="Q27" s="237" t="str">
        <f>IFERROR(INDEX('2'!C$300:C$400,MATCH("*"&amp;F27&amp;"*",'2'!B$300:B$400,0)),"  ")</f>
        <v xml:space="preserve">  </v>
      </c>
      <c r="R27" s="237">
        <f>IFERROR(INDEX('3'!C$300:C$400,MATCH("*"&amp;F27&amp;"*",'3'!B$300:B$400,0)),"  ")</f>
        <v>18</v>
      </c>
      <c r="S27" s="237">
        <f>IFERROR(INDEX('4'!C$300:C$400,MATCH("*"&amp;F27&amp;"*",'4'!B$300:B$400,0)),"  ")</f>
        <v>16</v>
      </c>
      <c r="T27" s="237">
        <f>IFERROR(INDEX('5'!C$300:C$400,MATCH("*"&amp;F27&amp;"*",'5'!B$300:B$400,0)),"  ")</f>
        <v>12</v>
      </c>
      <c r="U27" s="237" t="str">
        <f>IFERROR(INDEX('6'!C$300:C$400,MATCH("*"&amp;F27&amp;"*",'6'!B$300:B$400,0)),"  ")</f>
        <v xml:space="preserve">  </v>
      </c>
      <c r="V27" s="237" t="str">
        <f>IFERROR(INDEX('7'!C$300:C$400,MATCH("*"&amp;F27&amp;"*",'7'!B$300:B$400,0)),"  ")</f>
        <v xml:space="preserve">  </v>
      </c>
      <c r="W27" s="237" t="str">
        <f ca="1">IFERROR(INDEX('8'!C$300:C$400,MATCH("*"&amp;F27&amp;"*",'8'!B$300:B$400,0)),"  ")</f>
        <v xml:space="preserve">  </v>
      </c>
      <c r="X27" s="237" t="str">
        <f>IFERROR(INDEX('9'!C$300:C$400,MATCH("*"&amp;F27&amp;"*",'9'!B$300:B$400,0)),"  ")</f>
        <v xml:space="preserve">  </v>
      </c>
      <c r="Y27" s="237">
        <f>IFERROR(INDEX('10'!C$300:C$400,MATCH("*"&amp;F27&amp;"*",'10'!B$300:B$400,0)),"  ")</f>
        <v>22</v>
      </c>
      <c r="Z27" s="236">
        <f>IFERROR(INDEX('11'!C$300:C$400,MATCH("*"&amp;F27&amp;"*",'11'!B$300:B$400,0)),"  ")</f>
        <v>24</v>
      </c>
      <c r="AA27" s="237">
        <f>IFERROR(INDEX('12'!C$300:C$400,MATCH("*"&amp;F27&amp;"*",'12'!B$300:B$400,0)),"  ")</f>
        <v>40</v>
      </c>
      <c r="AB27" s="237" t="str">
        <f>IFERROR(INDEX('13'!C$300:C$400,MATCH("*"&amp;F27&amp;"*",'13'!B$300:B$400,0)),"  ")</f>
        <v xml:space="preserve">  </v>
      </c>
      <c r="AC27" s="239">
        <f t="shared" ca="1" si="10"/>
        <v>7</v>
      </c>
      <c r="AD27" s="239">
        <f t="shared" ca="1" si="11"/>
        <v>1</v>
      </c>
      <c r="AE27" s="239">
        <f t="shared" ca="1" si="12"/>
        <v>1</v>
      </c>
      <c r="AF27" s="240">
        <f t="shared" si="13"/>
        <v>18.0001</v>
      </c>
      <c r="AG27" s="240">
        <f t="shared" si="14"/>
        <v>2.0000000000000001E-4</v>
      </c>
      <c r="AH27" s="240">
        <f t="shared" ca="1" si="15"/>
        <v>5.9999999999999995E-4</v>
      </c>
      <c r="AI27" s="240" t="e">
        <f t="shared" ca="1" si="16"/>
        <v>#VALUE!</v>
      </c>
      <c r="AJ27" s="171"/>
    </row>
    <row r="28" spans="1:36" x14ac:dyDescent="0.2">
      <c r="A28" s="225" t="str">
        <f t="shared" si="0"/>
        <v/>
      </c>
      <c r="B28" s="226" t="str">
        <f t="shared" si="1"/>
        <v/>
      </c>
      <c r="C28" s="227" t="str">
        <f t="shared" si="2"/>
        <v/>
      </c>
      <c r="D28" s="228" t="str">
        <f t="shared" si="3"/>
        <v/>
      </c>
      <c r="E28" s="229">
        <f t="shared" ca="1" si="4"/>
        <v>21</v>
      </c>
      <c r="F28" s="252" t="s">
        <v>138</v>
      </c>
      <c r="G28" s="230"/>
      <c r="H28" s="231"/>
      <c r="I28" s="232">
        <f t="array" aca="1" ref="I28" ca="1">(IF(COUNT(P28,R28,Y28,AA28)&lt;3,SUM(P28,R28,Y28,AA28),SUM(LARGE((P28,R28,Y28,AA28),{1;2;3}))))+(IF(COUNT(Q28,S28,T28,X28)&lt;3,SUM(Q28,S28,T28,X28),SUM(LARGE((Q28,S28,T28,X28),{1;2;3}))))+(IF(COUNT(U28,V28,W28,Z28,AB28)&lt;3,SUM(U28,V28,W28,Z28,AB28),SUM(LARGE((U28,V28,W28,Z28,AB28),{1;2;3}))))</f>
        <v>132</v>
      </c>
      <c r="J28" s="233" t="str">
        <f ca="1">INDEX(ETAPP!B$1:B$32,MATCH(COUNTIF(P28:AB28,PIV!A$1),ETAPP!A$1:A$32,0))&amp;INDEX(ETAPP!B$1:B$32,MATCH(COUNTIF(P28:AB28,PIV!A$2),ETAPP!A$1:A$32,0))&amp;INDEX(ETAPP!B$1:B$32,MATCH(COUNTIF(P28:AB28,PIV!A$3),ETAPP!A$1:A$32,0))&amp;INDEX(ETAPP!B$1:B$32,MATCH(COUNTIF(P28:AB28,PIV!A$4),ETAPP!A$1:A$32,0))&amp;INDEX(ETAPP!B$1:B$32,MATCH(COUNTIF(P28:AB28,PIV!A$5),ETAPP!A$1:A$32,0))&amp;INDEX(ETAPP!B$1:B$32,MATCH(COUNTIF(P28:AB28,PIV!A$6),ETAPP!A$1:A$32,0))&amp;INDEX(ETAPP!B$1:B$32,MATCH(COUNTIF(P28:AB28,PIV!A$7),ETAPP!A$1:A$32,0))&amp;INDEX(ETAPP!B$1:B$32,MATCH(COUNTIF(P28:AB28,PIV!A$8),ETAPP!A$1:A$32,0))&amp;INDEX(ETAPP!B$1:B$32,MATCH(COUNTIF(P28:AB28,PIV!A$9),ETAPP!A$1:A$32,0))&amp;INDEX(ETAPP!B$1:B$32,MATCH(COUNTIF(P28:AB28,PIV!A$10),ETAPP!A$1:A$32,0))&amp;INDEX(ETAPP!B$1:B$32,MATCH(COUNTIF(P28:AB28,PIV!A$11),ETAPP!A$1:A$32,0))&amp;INDEX(ETAPP!B$1:B$32,MATCH(COUNTIF(P28:AB28,PIV!A$12),ETAPP!A$1:A$32,0))&amp;INDEX(ETAPP!B$1:B$32,MATCH(COUNTIF(P28:AB28,PIV!A$13),ETAPP!A$1:A$32,0))&amp;INDEX(ETAPP!B$1:B$32,MATCH(COUNTIF(P28:AB28,PIV!A$14),ETAPP!A$1:A$32,0))&amp;INDEX(ETAPP!B$1:B$32,MATCH(COUNTIF(P28:AB28,PIV!A$15),ETAPP!A$1:A$32,0))&amp;INDEX(ETAPP!B$1:B$32,MATCH(COUNTIF(P28:AB28,PIV!A$16),ETAPP!A$1:A$32,0))&amp;INDEX(ETAPP!B$1:B$32,MATCH(COUNTIF(P28:AB28,PIV!A$17),ETAPP!A$1:A$32,0))&amp;INDEX(ETAPP!B$1:B$32,MATCH(COUNTIF(P28:AB28,PIV!A$18),ETAPP!A$1:A$32,0))&amp;INDEX(ETAPP!B$1:B$32,MATCH(COUNTIF(P28:AB28,PIV!A$19),ETAPP!A$1:A$32,0))</f>
        <v>A0000AA00BAA00A000E</v>
      </c>
      <c r="K28" s="233" t="str">
        <f t="shared" ca="1" si="5"/>
        <v>132,0-A0000AA00BAA00A000E</v>
      </c>
      <c r="L28" s="234">
        <f t="shared" ca="1" si="6"/>
        <v>21</v>
      </c>
      <c r="M28" s="234">
        <f t="shared" si="7"/>
        <v>2</v>
      </c>
      <c r="N28" s="233" t="str">
        <f t="shared" ca="1" si="8"/>
        <v>132,0-A0000AA00BAA00A000E-002</v>
      </c>
      <c r="O28" s="235">
        <f t="shared" ca="1" si="9"/>
        <v>35</v>
      </c>
      <c r="P28" s="236" t="str">
        <f>IFERROR(INDEX('1'!C$300:C$400,MATCH("*"&amp;F28&amp;"*",'1'!B$300:B$400,0)),"  ")</f>
        <v xml:space="preserve">  </v>
      </c>
      <c r="Q28" s="237" t="str">
        <f>IFERROR(INDEX('2'!C$300:C$400,MATCH("*"&amp;F28&amp;"*",'2'!B$300:B$400,0)),"  ")</f>
        <v xml:space="preserve">  </v>
      </c>
      <c r="R28" s="237">
        <f>IFERROR(INDEX('3'!C$300:C$400,MATCH("*"&amp;F28&amp;"*",'3'!B$300:B$400,0)),"  ")</f>
        <v>22</v>
      </c>
      <c r="S28" s="237">
        <f>IFERROR(INDEX('4'!C$300:C$400,MATCH("*"&amp;F28&amp;"*",'4'!B$300:B$400,0)),"  ")</f>
        <v>20</v>
      </c>
      <c r="T28" s="237" t="str">
        <f>IFERROR(INDEX('5'!C$300:C$400,MATCH("*"&amp;F28&amp;"*",'5'!B$300:B$400,0)),"  ")</f>
        <v xml:space="preserve">  </v>
      </c>
      <c r="U28" s="237">
        <f>IFERROR(INDEX('6'!C$300:C$400,MATCH("*"&amp;F28&amp;"*",'6'!B$300:B$400,0)),"  ")</f>
        <v>10</v>
      </c>
      <c r="V28" s="237">
        <f>IFERROR(INDEX('7'!C$300:C$400,MATCH("*"&amp;F28&amp;"*",'7'!B$300:B$400,0)),"  ")</f>
        <v>4</v>
      </c>
      <c r="W28" s="237" t="str">
        <f ca="1">IFERROR(INDEX('8'!C$300:C$400,MATCH("*"&amp;F28&amp;"*",'8'!B$300:B$400,0)),"  ")</f>
        <v xml:space="preserve">  </v>
      </c>
      <c r="X28" s="237">
        <f>IFERROR(INDEX('9'!C$300:C$400,MATCH("*"&amp;F28&amp;"*",'9'!B$300:B$400,0)),"  ")</f>
        <v>14</v>
      </c>
      <c r="Y28" s="237">
        <f>IFERROR(INDEX('10'!C$300:C$400,MATCH("*"&amp;F28&amp;"*",'10'!B$300:B$400,0)),"  ")</f>
        <v>40</v>
      </c>
      <c r="Z28" s="236">
        <f>IFERROR(INDEX('11'!C$300:C$400,MATCH("*"&amp;F28&amp;"*",'11'!B$300:B$400,0)),"  ")</f>
        <v>12</v>
      </c>
      <c r="AA28" s="237" t="str">
        <f>IFERROR(INDEX('12'!C$300:C$400,MATCH("*"&amp;F28&amp;"*",'12'!B$300:B$400,0)),"  ")</f>
        <v xml:space="preserve">  </v>
      </c>
      <c r="AB28" s="237">
        <f>IFERROR(INDEX('13'!C$300:C$400,MATCH("*"&amp;F28&amp;"*",'13'!B$300:B$400,0)),"  ")</f>
        <v>14</v>
      </c>
      <c r="AC28" s="239">
        <f t="shared" ca="1" si="10"/>
        <v>8</v>
      </c>
      <c r="AD28" s="239">
        <f t="shared" ca="1" si="11"/>
        <v>1</v>
      </c>
      <c r="AE28" s="239">
        <f t="shared" ca="1" si="12"/>
        <v>1</v>
      </c>
      <c r="AF28" s="240">
        <f t="shared" si="13"/>
        <v>1E-4</v>
      </c>
      <c r="AG28" s="240">
        <f t="shared" si="14"/>
        <v>2.0000000000000001E-4</v>
      </c>
      <c r="AH28" s="240">
        <f t="shared" ca="1" si="15"/>
        <v>8.0000000000000004E-4</v>
      </c>
      <c r="AI28" s="240">
        <f t="shared" ca="1" si="16"/>
        <v>4.0007000000000001</v>
      </c>
      <c r="AJ28" s="171"/>
    </row>
    <row r="29" spans="1:36" x14ac:dyDescent="0.2">
      <c r="A29" s="225">
        <f t="shared" ca="1" si="0"/>
        <v>3</v>
      </c>
      <c r="B29" s="226">
        <f t="shared" ca="1" si="1"/>
        <v>22</v>
      </c>
      <c r="C29" s="227" t="str">
        <f t="shared" si="2"/>
        <v/>
      </c>
      <c r="D29" s="228" t="str">
        <f t="shared" si="3"/>
        <v/>
      </c>
      <c r="E29" s="229">
        <f t="shared" ca="1" si="4"/>
        <v>22</v>
      </c>
      <c r="F29" s="191" t="s">
        <v>156</v>
      </c>
      <c r="G29" s="230" t="s">
        <v>119</v>
      </c>
      <c r="H29" s="231"/>
      <c r="I29" s="232">
        <f t="array" aca="1" ref="I29" ca="1">(IF(COUNT(P29,R29,Y29,AA29)&lt;3,SUM(P29,R29,Y29,AA29),SUM(LARGE((P29,R29,Y29,AA29),{1;2;3}))))+(IF(COUNT(Q29,S29,T29,X29)&lt;3,SUM(Q29,S29,T29,X29),SUM(LARGE((Q29,S29,T29,X29),{1;2;3}))))+(IF(COUNT(U29,V29,W29,Z29,AB29)&lt;3,SUM(U29,V29,W29,Z29,AB29),SUM(LARGE((U29,V29,W29,Z29,AB29),{1;2;3}))))</f>
        <v>130</v>
      </c>
      <c r="J29" s="233" t="str">
        <f ca="1">INDEX(ETAPP!B$1:B$32,MATCH(COUNTIF(P29:AB29,PIV!A$1),ETAPP!A$1:A$32,0))&amp;INDEX(ETAPP!B$1:B$32,MATCH(COUNTIF(P29:AB29,PIV!A$2),ETAPP!A$1:A$32,0))&amp;INDEX(ETAPP!B$1:B$32,MATCH(COUNTIF(P29:AB29,PIV!A$3),ETAPP!A$1:A$32,0))&amp;INDEX(ETAPP!B$1:B$32,MATCH(COUNTIF(P29:AB29,PIV!A$4),ETAPP!A$1:A$32,0))&amp;INDEX(ETAPP!B$1:B$32,MATCH(COUNTIF(P29:AB29,PIV!A$5),ETAPP!A$1:A$32,0))&amp;INDEX(ETAPP!B$1:B$32,MATCH(COUNTIF(P29:AB29,PIV!A$6),ETAPP!A$1:A$32,0))&amp;INDEX(ETAPP!B$1:B$32,MATCH(COUNTIF(P29:AB29,PIV!A$7),ETAPP!A$1:A$32,0))&amp;INDEX(ETAPP!B$1:B$32,MATCH(COUNTIF(P29:AB29,PIV!A$8),ETAPP!A$1:A$32,0))&amp;INDEX(ETAPP!B$1:B$32,MATCH(COUNTIF(P29:AB29,PIV!A$9),ETAPP!A$1:A$32,0))&amp;INDEX(ETAPP!B$1:B$32,MATCH(COUNTIF(P29:AB29,PIV!A$10),ETAPP!A$1:A$32,0))&amp;INDEX(ETAPP!B$1:B$32,MATCH(COUNTIF(P29:AB29,PIV!A$11),ETAPP!A$1:A$32,0))&amp;INDEX(ETAPP!B$1:B$32,MATCH(COUNTIF(P29:AB29,PIV!A$12),ETAPP!A$1:A$32,0))&amp;INDEX(ETAPP!B$1:B$32,MATCH(COUNTIF(P29:AB29,PIV!A$13),ETAPP!A$1:A$32,0))&amp;INDEX(ETAPP!B$1:B$32,MATCH(COUNTIF(P29:AB29,PIV!A$14),ETAPP!A$1:A$32,0))&amp;INDEX(ETAPP!B$1:B$32,MATCH(COUNTIF(P29:AB29,PIV!A$15),ETAPP!A$1:A$32,0))&amp;INDEX(ETAPP!B$1:B$32,MATCH(COUNTIF(P29:AB29,PIV!A$16),ETAPP!A$1:A$32,0))&amp;INDEX(ETAPP!B$1:B$32,MATCH(COUNTIF(P29:AB29,PIV!A$17),ETAPP!A$1:A$32,0))&amp;INDEX(ETAPP!B$1:B$32,MATCH(COUNTIF(P29:AB29,PIV!A$18),ETAPP!A$1:A$32,0))&amp;INDEX(ETAPP!B$1:B$32,MATCH(COUNTIF(P29:AB29,PIV!A$19),ETAPP!A$1:A$32,0))</f>
        <v>AA000000A0BA0A00A0E</v>
      </c>
      <c r="K29" s="233" t="str">
        <f t="shared" ca="1" si="5"/>
        <v>130,0-AA000000A0BA0A00A0E</v>
      </c>
      <c r="L29" s="234">
        <f t="shared" ca="1" si="6"/>
        <v>22</v>
      </c>
      <c r="M29" s="234">
        <f t="shared" si="7"/>
        <v>25</v>
      </c>
      <c r="N29" s="233" t="str">
        <f t="shared" ca="1" si="8"/>
        <v>130,0-AA000000A0BA0A00A0E-025</v>
      </c>
      <c r="O29" s="235">
        <f t="shared" ca="1" si="9"/>
        <v>34</v>
      </c>
      <c r="P29" s="236" t="str">
        <f>IFERROR(INDEX('1'!C$300:C$400,MATCH("*"&amp;F29&amp;"*",'1'!B$300:B$400,0)),"  ")</f>
        <v xml:space="preserve">  </v>
      </c>
      <c r="Q29" s="237">
        <f>IFERROR(INDEX('2'!C$300:C$400,MATCH("*"&amp;F29&amp;"*",'2'!B$300:B$400,0)),"  ")</f>
        <v>16</v>
      </c>
      <c r="R29" s="237" t="str">
        <f>IFERROR(INDEX('3'!C$300:C$400,MATCH("*"&amp;F29&amp;"*",'3'!B$300:B$400,0)),"  ")</f>
        <v xml:space="preserve">  </v>
      </c>
      <c r="S29" s="237">
        <f>IFERROR(INDEX('4'!C$300:C$400,MATCH("*"&amp;F29&amp;"*",'4'!B$300:B$400,0)),"  ")</f>
        <v>12</v>
      </c>
      <c r="T29" s="237" t="str">
        <f>IFERROR(INDEX('5'!C$300:C$400,MATCH("*"&amp;F29&amp;"*",'5'!B$300:B$400,0)),"  ")</f>
        <v xml:space="preserve">  </v>
      </c>
      <c r="U29" s="237">
        <f>IFERROR(INDEX('6'!C$300:C$400,MATCH("*"&amp;F29&amp;"*",'6'!B$300:B$400,0)),"  ")</f>
        <v>12</v>
      </c>
      <c r="V29" s="237">
        <f>IFERROR(INDEX('7'!C$300:C$400,MATCH("*"&amp;F29&amp;"*",'7'!B$300:B$400,0)),"  ")</f>
        <v>6</v>
      </c>
      <c r="W29" s="237" t="str">
        <f ca="1">IFERROR(INDEX('8'!C$300:C$400,MATCH("*"&amp;F29&amp;"*",'8'!B$300:B$400,0)),"  ")</f>
        <v xml:space="preserve">  </v>
      </c>
      <c r="X29" s="237">
        <f>IFERROR(INDEX('9'!C$300:C$400,MATCH("*"&amp;F29&amp;"*",'9'!B$300:B$400,0)),"  ")</f>
        <v>34</v>
      </c>
      <c r="Y29" s="237">
        <f>IFERROR(INDEX('10'!C$300:C$400,MATCH("*"&amp;F29&amp;"*",'10'!B$300:B$400,0)),"  ")</f>
        <v>40</v>
      </c>
      <c r="Z29" s="236">
        <f>IFERROR(INDEX('11'!C$300:C$400,MATCH("*"&amp;F29&amp;"*",'11'!B$300:B$400,0)),"  ")</f>
        <v>1</v>
      </c>
      <c r="AA29" s="237" t="str">
        <f>IFERROR(INDEX('12'!C$300:C$400,MATCH("*"&amp;F29&amp;"*",'12'!B$300:B$400,0)),"  ")</f>
        <v xml:space="preserve">  </v>
      </c>
      <c r="AB29" s="237">
        <f>IFERROR(INDEX('13'!C$300:C$400,MATCH("*"&amp;F29&amp;"*",'13'!B$300:B$400,0)),"  ")</f>
        <v>10</v>
      </c>
      <c r="AC29" s="239">
        <f t="shared" ca="1" si="10"/>
        <v>8</v>
      </c>
      <c r="AD29" s="239">
        <f t="shared" ca="1" si="11"/>
        <v>2</v>
      </c>
      <c r="AE29" s="239">
        <f t="shared" ca="1" si="12"/>
        <v>1</v>
      </c>
      <c r="AF29" s="240">
        <f t="shared" si="13"/>
        <v>1E-4</v>
      </c>
      <c r="AG29" s="240">
        <f t="shared" si="14"/>
        <v>5.0000000000000001E-4</v>
      </c>
      <c r="AH29" s="240">
        <f t="shared" ca="1" si="15"/>
        <v>8.0000000000000004E-4</v>
      </c>
      <c r="AI29" s="240">
        <f t="shared" ca="1" si="16"/>
        <v>1.0011000000000001</v>
      </c>
      <c r="AJ29" s="171"/>
    </row>
    <row r="30" spans="1:36" x14ac:dyDescent="0.2">
      <c r="A30" s="225" t="str">
        <f t="shared" si="0"/>
        <v/>
      </c>
      <c r="B30" s="226" t="str">
        <f t="shared" si="1"/>
        <v/>
      </c>
      <c r="C30" s="227" t="str">
        <f t="shared" si="2"/>
        <v/>
      </c>
      <c r="D30" s="228" t="str">
        <f t="shared" si="3"/>
        <v/>
      </c>
      <c r="E30" s="229">
        <f t="shared" ca="1" si="4"/>
        <v>23</v>
      </c>
      <c r="F30" s="191" t="s">
        <v>145</v>
      </c>
      <c r="G30" s="230"/>
      <c r="H30" s="231"/>
      <c r="I30" s="232">
        <f t="array" aca="1" ref="I30" ca="1">(IF(COUNT(P30,R30,Y30,AA30)&lt;3,SUM(P30,R30,Y30,AA30),SUM(LARGE((P30,R30,Y30,AA30),{1;2;3}))))+(IF(COUNT(Q30,S30,T30,X30)&lt;3,SUM(Q30,S30,T30,X30),SUM(LARGE((Q30,S30,T30,X30),{1;2;3}))))+(IF(COUNT(U30,V30,W30,Z30,AB30)&lt;3,SUM(U30,V30,W30,Z30,AB30),SUM(LARGE((U30,V30,W30,Z30,AB30),{1;2;3}))))</f>
        <v>116</v>
      </c>
      <c r="J30" s="233" t="str">
        <f ca="1">INDEX(ETAPP!B$1:B$32,MATCH(COUNTIF(P30:AB30,PIV!A$1),ETAPP!A$1:A$32,0))&amp;INDEX(ETAPP!B$1:B$32,MATCH(COUNTIF(P30:AB30,PIV!A$2),ETAPP!A$1:A$32,0))&amp;INDEX(ETAPP!B$1:B$32,MATCH(COUNTIF(P30:AB30,PIV!A$3),ETAPP!A$1:A$32,0))&amp;INDEX(ETAPP!B$1:B$32,MATCH(COUNTIF(P30:AB30,PIV!A$4),ETAPP!A$1:A$32,0))&amp;INDEX(ETAPP!B$1:B$32,MATCH(COUNTIF(P30:AB30,PIV!A$5),ETAPP!A$1:A$32,0))&amp;INDEX(ETAPP!B$1:B$32,MATCH(COUNTIF(P30:AB30,PIV!A$6),ETAPP!A$1:A$32,0))&amp;INDEX(ETAPP!B$1:B$32,MATCH(COUNTIF(P30:AB30,PIV!A$7),ETAPP!A$1:A$32,0))&amp;INDEX(ETAPP!B$1:B$32,MATCH(COUNTIF(P30:AB30,PIV!A$8),ETAPP!A$1:A$32,0))&amp;INDEX(ETAPP!B$1:B$32,MATCH(COUNTIF(P30:AB30,PIV!A$9),ETAPP!A$1:A$32,0))&amp;INDEX(ETAPP!B$1:B$32,MATCH(COUNTIF(P30:AB30,PIV!A$10),ETAPP!A$1:A$32,0))&amp;INDEX(ETAPP!B$1:B$32,MATCH(COUNTIF(P30:AB30,PIV!A$11),ETAPP!A$1:A$32,0))&amp;INDEX(ETAPP!B$1:B$32,MATCH(COUNTIF(P30:AB30,PIV!A$12),ETAPP!A$1:A$32,0))&amp;INDEX(ETAPP!B$1:B$32,MATCH(COUNTIF(P30:AB30,PIV!A$13),ETAPP!A$1:A$32,0))&amp;INDEX(ETAPP!B$1:B$32,MATCH(COUNTIF(P30:AB30,PIV!A$14),ETAPP!A$1:A$32,0))&amp;INDEX(ETAPP!B$1:B$32,MATCH(COUNTIF(P30:AB30,PIV!A$15),ETAPP!A$1:A$32,0))&amp;INDEX(ETAPP!B$1:B$32,MATCH(COUNTIF(P30:AB30,PIV!A$16),ETAPP!A$1:A$32,0))&amp;INDEX(ETAPP!B$1:B$32,MATCH(COUNTIF(P30:AB30,PIV!A$17),ETAPP!A$1:A$32,0))&amp;INDEX(ETAPP!B$1:B$32,MATCH(COUNTIF(P30:AB30,PIV!A$18),ETAPP!A$1:A$32,0))&amp;INDEX(ETAPP!B$1:B$32,MATCH(COUNTIF(P30:AB30,PIV!A$19),ETAPP!A$1:A$32,0))</f>
        <v>B000A00000A0000000D</v>
      </c>
      <c r="K30" s="233" t="str">
        <f t="shared" ca="1" si="5"/>
        <v>116,0-B000A00000A0000000D</v>
      </c>
      <c r="L30" s="234">
        <f t="shared" ca="1" si="6"/>
        <v>23</v>
      </c>
      <c r="M30" s="234">
        <f t="shared" si="7"/>
        <v>8</v>
      </c>
      <c r="N30" s="233" t="str">
        <f t="shared" ca="1" si="8"/>
        <v>116,0-B000A00000A0000000D-008</v>
      </c>
      <c r="O30" s="235">
        <f t="shared" ca="1" si="9"/>
        <v>33</v>
      </c>
      <c r="P30" s="236" t="str">
        <f>IFERROR(INDEX('1'!C$300:C$400,MATCH("*"&amp;F30&amp;"*",'1'!B$300:B$400,0)),"  ")</f>
        <v xml:space="preserve">  </v>
      </c>
      <c r="Q30" s="237" t="str">
        <f>IFERROR(INDEX('2'!C$300:C$400,MATCH("*"&amp;F30&amp;"*",'2'!B$300:B$400,0)),"  ")</f>
        <v xml:space="preserve">  </v>
      </c>
      <c r="R30" s="237">
        <f>IFERROR(INDEX('3'!C$300:C$400,MATCH("*"&amp;F30&amp;"*",'3'!B$300:B$400,0)),"  ")</f>
        <v>12</v>
      </c>
      <c r="S30" s="237" t="str">
        <f>IFERROR(INDEX('4'!C$300:C$400,MATCH("*"&amp;F30&amp;"*",'4'!B$300:B$400,0)),"  ")</f>
        <v xml:space="preserve">  </v>
      </c>
      <c r="T30" s="237">
        <f>IFERROR(INDEX('5'!C$300:C$400,MATCH("*"&amp;F30&amp;"*",'5'!B$300:B$400,0)),"  ")</f>
        <v>40</v>
      </c>
      <c r="U30" s="237" t="str">
        <f>IFERROR(INDEX('6'!C$300:C$400,MATCH("*"&amp;F30&amp;"*",'6'!B$300:B$400,0)),"  ")</f>
        <v xml:space="preserve">  </v>
      </c>
      <c r="V30" s="237" t="str">
        <f>IFERROR(INDEX('7'!C$300:C$400,MATCH("*"&amp;F30&amp;"*",'7'!B$300:B$400,0)),"  ")</f>
        <v xml:space="preserve">  </v>
      </c>
      <c r="W30" s="237" t="str">
        <f ca="1">IFERROR(INDEX('8'!C$300:C$400,MATCH("*"&amp;F30&amp;"*",'8'!B$300:B$400,0)),"  ")</f>
        <v xml:space="preserve">  </v>
      </c>
      <c r="X30" s="237" t="str">
        <f>IFERROR(INDEX('9'!C$300:C$400,MATCH("*"&amp;F30&amp;"*",'9'!B$300:B$400,0)),"  ")</f>
        <v xml:space="preserve">  </v>
      </c>
      <c r="Y30" s="237" t="str">
        <f>IFERROR(INDEX('10'!C$300:C$400,MATCH("*"&amp;F30&amp;"*",'10'!B$300:B$400,0)),"  ")</f>
        <v xml:space="preserve">  </v>
      </c>
      <c r="Z30" s="236" t="str">
        <f>IFERROR(INDEX('11'!C$300:C$400,MATCH("*"&amp;F30&amp;"*",'11'!B$300:B$400,0)),"  ")</f>
        <v xml:space="preserve">  </v>
      </c>
      <c r="AA30" s="237">
        <f>IFERROR(INDEX('12'!C$300:C$400,MATCH("*"&amp;F30&amp;"*",'12'!B$300:B$400,0)),"  ")</f>
        <v>24</v>
      </c>
      <c r="AB30" s="237">
        <f>IFERROR(INDEX('13'!C$300:C$400,MATCH("*"&amp;F30&amp;"*",'13'!B$300:B$400,0)),"  ")</f>
        <v>40</v>
      </c>
      <c r="AC30" s="239">
        <f t="shared" ca="1" si="10"/>
        <v>4</v>
      </c>
      <c r="AD30" s="239">
        <f t="shared" ca="1" si="11"/>
        <v>2</v>
      </c>
      <c r="AE30" s="239">
        <f t="shared" ca="1" si="12"/>
        <v>2</v>
      </c>
      <c r="AF30" s="240">
        <f t="shared" si="13"/>
        <v>1E-4</v>
      </c>
      <c r="AG30" s="240">
        <f t="shared" si="14"/>
        <v>2.0000000000000001E-4</v>
      </c>
      <c r="AH30" s="240">
        <f t="shared" ca="1" si="15"/>
        <v>5.9999999999999995E-4</v>
      </c>
      <c r="AI30" s="240" t="e">
        <f t="shared" ca="1" si="16"/>
        <v>#VALUE!</v>
      </c>
      <c r="AJ30" s="171"/>
    </row>
    <row r="31" spans="1:36" x14ac:dyDescent="0.2">
      <c r="A31" s="225" t="str">
        <f t="shared" si="0"/>
        <v/>
      </c>
      <c r="B31" s="226" t="str">
        <f t="shared" si="1"/>
        <v/>
      </c>
      <c r="C31" s="227" t="str">
        <f t="shared" si="2"/>
        <v/>
      </c>
      <c r="D31" s="228" t="str">
        <f t="shared" si="3"/>
        <v/>
      </c>
      <c r="E31" s="229">
        <f t="shared" ca="1" si="4"/>
        <v>24</v>
      </c>
      <c r="F31" s="245" t="s">
        <v>401</v>
      </c>
      <c r="G31" s="230"/>
      <c r="H31" s="231"/>
      <c r="I31" s="232">
        <f t="array" aca="1" ref="I31" ca="1">(IF(COUNT(P31,R31,Y31,AA31)&lt;3,SUM(P31,R31,Y31,AA31),SUM(LARGE((P31,R31,Y31,AA31),{1;2;3}))))+(IF(COUNT(Q31,S31,T31,X31)&lt;3,SUM(Q31,S31,T31,X31),SUM(LARGE((Q31,S31,T31,X31),{1;2;3}))))+(IF(COUNT(U31,V31,W31,Z31,AB31)&lt;3,SUM(U31,V31,W31,Z31,AB31),SUM(LARGE((U31,V31,W31,Z31,AB31),{1;2;3}))))</f>
        <v>116</v>
      </c>
      <c r="J31" s="233" t="str">
        <f ca="1">INDEX(ETAPP!B$1:B$32,MATCH(COUNTIF(P31:AB31,PIV!A$1),ETAPP!A$1:A$32,0))&amp;INDEX(ETAPP!B$1:B$32,MATCH(COUNTIF(P31:AB31,PIV!A$2),ETAPP!A$1:A$32,0))&amp;INDEX(ETAPP!B$1:B$32,MATCH(COUNTIF(P31:AB31,PIV!A$3),ETAPP!A$1:A$32,0))&amp;INDEX(ETAPP!B$1:B$32,MATCH(COUNTIF(P31:AB31,PIV!A$4),ETAPP!A$1:A$32,0))&amp;INDEX(ETAPP!B$1:B$32,MATCH(COUNTIF(P31:AB31,PIV!A$5),ETAPP!A$1:A$32,0))&amp;INDEX(ETAPP!B$1:B$32,MATCH(COUNTIF(P31:AB31,PIV!A$6),ETAPP!A$1:A$32,0))&amp;INDEX(ETAPP!B$1:B$32,MATCH(COUNTIF(P31:AB31,PIV!A$7),ETAPP!A$1:A$32,0))&amp;INDEX(ETAPP!B$1:B$32,MATCH(COUNTIF(P31:AB31,PIV!A$8),ETAPP!A$1:A$32,0))&amp;INDEX(ETAPP!B$1:B$32,MATCH(COUNTIF(P31:AB31,PIV!A$9),ETAPP!A$1:A$32,0))&amp;INDEX(ETAPP!B$1:B$32,MATCH(COUNTIF(P31:AB31,PIV!A$10),ETAPP!A$1:A$32,0))&amp;INDEX(ETAPP!B$1:B$32,MATCH(COUNTIF(P31:AB31,PIV!A$11),ETAPP!A$1:A$32,0))&amp;INDEX(ETAPP!B$1:B$32,MATCH(COUNTIF(P31:AB31,PIV!A$12),ETAPP!A$1:A$32,0))&amp;INDEX(ETAPP!B$1:B$32,MATCH(COUNTIF(P31:AB31,PIV!A$13),ETAPP!A$1:A$32,0))&amp;INDEX(ETAPP!B$1:B$32,MATCH(COUNTIF(P31:AB31,PIV!A$14),ETAPP!A$1:A$32,0))&amp;INDEX(ETAPP!B$1:B$32,MATCH(COUNTIF(P31:AB31,PIV!A$15),ETAPP!A$1:A$32,0))&amp;INDEX(ETAPP!B$1:B$32,MATCH(COUNTIF(P31:AB31,PIV!A$16),ETAPP!A$1:A$32,0))&amp;INDEX(ETAPP!B$1:B$32,MATCH(COUNTIF(P31:AB31,PIV!A$17),ETAPP!A$1:A$32,0))&amp;INDEX(ETAPP!B$1:B$32,MATCH(COUNTIF(P31:AB31,PIV!A$18),ETAPP!A$1:A$32,0))&amp;INDEX(ETAPP!B$1:B$32,MATCH(COUNTIF(P31:AB31,PIV!A$19),ETAPP!A$1:A$32,0))</f>
        <v>000AAC000000000000C</v>
      </c>
      <c r="K31" s="233" t="str">
        <f t="shared" ca="1" si="5"/>
        <v>116,0-000AAC000000000000C</v>
      </c>
      <c r="L31" s="234">
        <f t="shared" ca="1" si="6"/>
        <v>24</v>
      </c>
      <c r="M31" s="234">
        <f t="shared" si="7"/>
        <v>20</v>
      </c>
      <c r="N31" s="233" t="str">
        <f t="shared" ca="1" si="8"/>
        <v>116,0-000AAC000000000000C-020</v>
      </c>
      <c r="O31" s="235">
        <f t="shared" ca="1" si="9"/>
        <v>32</v>
      </c>
      <c r="P31" s="236">
        <f>IFERROR(INDEX('1'!C$300:C$400,MATCH("*"&amp;F31&amp;"*",'1'!B$300:B$400,0)),"  ")</f>
        <v>24</v>
      </c>
      <c r="Q31" s="237" t="str">
        <f>IFERROR(INDEX('2'!C$300:C$400,MATCH("*"&amp;F31&amp;"*",'2'!B$300:B$400,0)),"  ")</f>
        <v xml:space="preserve">  </v>
      </c>
      <c r="R31" s="237" t="str">
        <f>IFERROR(INDEX('3'!C$300:C$400,MATCH("*"&amp;F31&amp;"*",'3'!B$300:B$400,0)),"  ")</f>
        <v xml:space="preserve">  </v>
      </c>
      <c r="S31" s="237" t="str">
        <f>IFERROR(INDEX('4'!C$300:C$400,MATCH("*"&amp;F31&amp;"*",'4'!B$300:B$400,0)),"  ")</f>
        <v xml:space="preserve">  </v>
      </c>
      <c r="T31" s="237" t="str">
        <f>IFERROR(INDEX('5'!C$300:C$400,MATCH("*"&amp;F31&amp;"*",'5'!B$300:B$400,0)),"  ")</f>
        <v xml:space="preserve">  </v>
      </c>
      <c r="U31" s="237">
        <f>IFERROR(INDEX('6'!C$300:C$400,MATCH("*"&amp;F31&amp;"*",'6'!B$300:B$400,0)),"  ")</f>
        <v>22</v>
      </c>
      <c r="V31" s="237" t="str">
        <f>IFERROR(INDEX('7'!C$300:C$400,MATCH("*"&amp;F31&amp;"*",'7'!B$300:B$400,0)),"  ")</f>
        <v xml:space="preserve">  </v>
      </c>
      <c r="W31" s="237">
        <f ca="1">IFERROR(INDEX('8'!C$300:C$400,MATCH("*"&amp;F31&amp;"*",'8'!B$300:B$400,0)),"  ")</f>
        <v>26</v>
      </c>
      <c r="X31" s="237" t="str">
        <f>IFERROR(INDEX('9'!C$300:C$400,MATCH("*"&amp;F31&amp;"*",'9'!B$300:B$400,0)),"  ")</f>
        <v xml:space="preserve">  </v>
      </c>
      <c r="Y31" s="237" t="str">
        <f>IFERROR(INDEX('10'!C$300:C$400,MATCH("*"&amp;F31&amp;"*",'10'!B$300:B$400,0)),"  ")</f>
        <v xml:space="preserve">  </v>
      </c>
      <c r="Z31" s="236" t="str">
        <f>IFERROR(INDEX('11'!C$300:C$400,MATCH("*"&amp;F31&amp;"*",'11'!B$300:B$400,0)),"  ")</f>
        <v xml:space="preserve">  </v>
      </c>
      <c r="AA31" s="237">
        <f>IFERROR(INDEX('12'!C$300:C$400,MATCH("*"&amp;F31&amp;"*",'12'!B$300:B$400,0)),"  ")</f>
        <v>22</v>
      </c>
      <c r="AB31" s="237">
        <f>IFERROR(INDEX('13'!C$300:C$400,MATCH("*"&amp;F31&amp;"*",'13'!B$300:B$400,0)),"  ")</f>
        <v>22</v>
      </c>
      <c r="AC31" s="239">
        <f t="shared" ca="1" si="10"/>
        <v>5</v>
      </c>
      <c r="AD31" s="239">
        <f t="shared" ca="1" si="11"/>
        <v>0</v>
      </c>
      <c r="AE31" s="239">
        <f t="shared" ca="1" si="12"/>
        <v>0</v>
      </c>
      <c r="AF31" s="240">
        <f t="shared" si="13"/>
        <v>2.9999999999999997E-4</v>
      </c>
      <c r="AG31" s="240">
        <f t="shared" si="14"/>
        <v>2.0000000000000001E-4</v>
      </c>
      <c r="AH31" s="240">
        <f t="shared" ca="1" si="15"/>
        <v>6.9999999999999999E-4</v>
      </c>
      <c r="AI31" s="240">
        <f t="shared" ca="1" si="16"/>
        <v>1.1000000000000001E-3</v>
      </c>
      <c r="AJ31" s="171"/>
    </row>
    <row r="32" spans="1:36" x14ac:dyDescent="0.2">
      <c r="A32" s="225" t="str">
        <f t="shared" si="0"/>
        <v/>
      </c>
      <c r="B32" s="226" t="str">
        <f t="shared" si="1"/>
        <v/>
      </c>
      <c r="C32" s="227" t="str">
        <f t="shared" si="2"/>
        <v/>
      </c>
      <c r="D32" s="228" t="str">
        <f t="shared" si="3"/>
        <v/>
      </c>
      <c r="E32" s="229">
        <f t="shared" ca="1" si="4"/>
        <v>25</v>
      </c>
      <c r="F32" s="191" t="s">
        <v>122</v>
      </c>
      <c r="G32" s="230"/>
      <c r="H32" s="231"/>
      <c r="I32" s="232">
        <f t="array" aca="1" ref="I32" ca="1">(IF(COUNT(P32,R32,Y32,AA32)&lt;3,SUM(P32,R32,Y32,AA32),SUM(LARGE((P32,R32,Y32,AA32),{1;2;3}))))+(IF(COUNT(Q32,S32,T32,X32)&lt;3,SUM(Q32,S32,T32,X32),SUM(LARGE((Q32,S32,T32,X32),{1;2;3}))))+(IF(COUNT(U32,V32,W32,Z32,AB32)&lt;3,SUM(U32,V32,W32,Z32,AB32),SUM(LARGE((U32,V32,W32,Z32,AB32),{1;2;3}))))</f>
        <v>94</v>
      </c>
      <c r="J32" s="233" t="str">
        <f ca="1">INDEX(ETAPP!B$1:B$32,MATCH(COUNTIF(P32:AB32,PIV!A$1),ETAPP!A$1:A$32,0))&amp;INDEX(ETAPP!B$1:B$32,MATCH(COUNTIF(P32:AB32,PIV!A$2),ETAPP!A$1:A$32,0))&amp;INDEX(ETAPP!B$1:B$32,MATCH(COUNTIF(P32:AB32,PIV!A$3),ETAPP!A$1:A$32,0))&amp;INDEX(ETAPP!B$1:B$32,MATCH(COUNTIF(P32:AB32,PIV!A$4),ETAPP!A$1:A$32,0))&amp;INDEX(ETAPP!B$1:B$32,MATCH(COUNTIF(P32:AB32,PIV!A$5),ETAPP!A$1:A$32,0))&amp;INDEX(ETAPP!B$1:B$32,MATCH(COUNTIF(P32:AB32,PIV!A$6),ETAPP!A$1:A$32,0))&amp;INDEX(ETAPP!B$1:B$32,MATCH(COUNTIF(P32:AB32,PIV!A$7),ETAPP!A$1:A$32,0))&amp;INDEX(ETAPP!B$1:B$32,MATCH(COUNTIF(P32:AB32,PIV!A$8),ETAPP!A$1:A$32,0))&amp;INDEX(ETAPP!B$1:B$32,MATCH(COUNTIF(P32:AB32,PIV!A$9),ETAPP!A$1:A$32,0))&amp;INDEX(ETAPP!B$1:B$32,MATCH(COUNTIF(P32:AB32,PIV!A$10),ETAPP!A$1:A$32,0))&amp;INDEX(ETAPP!B$1:B$32,MATCH(COUNTIF(P32:AB32,PIV!A$11),ETAPP!A$1:A$32,0))&amp;INDEX(ETAPP!B$1:B$32,MATCH(COUNTIF(P32:AB32,PIV!A$12),ETAPP!A$1:A$32,0))&amp;INDEX(ETAPP!B$1:B$32,MATCH(COUNTIF(P32:AB32,PIV!A$13),ETAPP!A$1:A$32,0))&amp;INDEX(ETAPP!B$1:B$32,MATCH(COUNTIF(P32:AB32,PIV!A$14),ETAPP!A$1:A$32,0))&amp;INDEX(ETAPP!B$1:B$32,MATCH(COUNTIF(P32:AB32,PIV!A$15),ETAPP!A$1:A$32,0))&amp;INDEX(ETAPP!B$1:B$32,MATCH(COUNTIF(P32:AB32,PIV!A$16),ETAPP!A$1:A$32,0))&amp;INDEX(ETAPP!B$1:B$32,MATCH(COUNTIF(P32:AB32,PIV!A$17),ETAPP!A$1:A$32,0))&amp;INDEX(ETAPP!B$1:B$32,MATCH(COUNTIF(P32:AB32,PIV!A$18),ETAPP!A$1:A$32,0))&amp;INDEX(ETAPP!B$1:B$32,MATCH(COUNTIF(P32:AB32,PIV!A$19),ETAPP!A$1:A$32,0))</f>
        <v>0000A00BA0A00A0000G</v>
      </c>
      <c r="K32" s="233" t="str">
        <f t="shared" ca="1" si="5"/>
        <v>094,0-0000A00BA0A00A0000G</v>
      </c>
      <c r="L32" s="234">
        <f t="shared" ca="1" si="6"/>
        <v>25</v>
      </c>
      <c r="M32" s="234">
        <f t="shared" si="7"/>
        <v>1</v>
      </c>
      <c r="N32" s="233" t="str">
        <f t="shared" ca="1" si="8"/>
        <v>094,0-0000A00BA0A00A0000G-001</v>
      </c>
      <c r="O32" s="235">
        <f t="shared" ca="1" si="9"/>
        <v>31</v>
      </c>
      <c r="P32" s="236">
        <f>IFERROR(INDEX('1'!C$300:C$400,MATCH("*"&amp;F32&amp;"*",'1'!B$300:B$400,0)),"  ")</f>
        <v>18</v>
      </c>
      <c r="Q32" s="237">
        <f>IFERROR(INDEX('2'!C$300:C$400,MATCH("*"&amp;F32&amp;"*",'2'!B$300:B$400,0)),"  ")</f>
        <v>6</v>
      </c>
      <c r="R32" s="237">
        <f>IFERROR(INDEX('3'!C$300:C$400,MATCH("*"&amp;F32&amp;"*",'3'!B$300:B$400,0)),"  ")</f>
        <v>18</v>
      </c>
      <c r="S32" s="237">
        <f>IFERROR(INDEX('4'!C$300:C$400,MATCH("*"&amp;F32&amp;"*",'4'!B$300:B$400,0)),"  ")</f>
        <v>16</v>
      </c>
      <c r="T32" s="237">
        <f>IFERROR(INDEX('5'!C$300:C$400,MATCH("*"&amp;F32&amp;"*",'5'!B$300:B$400,0)),"  ")</f>
        <v>12</v>
      </c>
      <c r="U32" s="237">
        <f>IFERROR(INDEX('6'!C$300:C$400,MATCH("*"&amp;F32&amp;"*",'6'!B$300:B$400,0)),"  ")</f>
        <v>24</v>
      </c>
      <c r="V32" s="237" t="str">
        <f>IFERROR(INDEX('7'!C$300:C$400,MATCH("*"&amp;F32&amp;"*",'7'!B$300:B$400,0)),"  ")</f>
        <v xml:space="preserve">  </v>
      </c>
      <c r="W32" s="237" t="str">
        <f ca="1">IFERROR(INDEX('8'!C$300:C$400,MATCH("*"&amp;F32&amp;"*",'8'!B$300:B$400,0)),"  ")</f>
        <v xml:space="preserve">  </v>
      </c>
      <c r="X32" s="237" t="str">
        <f>IFERROR(INDEX('9'!C$300:C$400,MATCH("*"&amp;F32&amp;"*",'9'!B$300:B$400,0)),"  ")</f>
        <v xml:space="preserve">  </v>
      </c>
      <c r="Y32" s="237" t="str">
        <f>IFERROR(INDEX('10'!C$300:C$400,MATCH("*"&amp;F32&amp;"*",'10'!B$300:B$400,0)),"  ")</f>
        <v xml:space="preserve">  </v>
      </c>
      <c r="Z32" s="236" t="str">
        <f>IFERROR(INDEX('11'!C$300:C$400,MATCH("*"&amp;F32&amp;"*",'11'!B$300:B$400,0)),"  ")</f>
        <v xml:space="preserve">  </v>
      </c>
      <c r="AA32" s="237" t="str">
        <f>IFERROR(INDEX('12'!C$300:C$400,MATCH("*"&amp;F32&amp;"*",'12'!B$300:B$400,0)),"  ")</f>
        <v xml:space="preserve">  </v>
      </c>
      <c r="AB32" s="237" t="str">
        <f>IFERROR(INDEX('13'!C$300:C$400,MATCH("*"&amp;F32&amp;"*",'13'!B$300:B$400,0)),"  ")</f>
        <v xml:space="preserve">  </v>
      </c>
      <c r="AC32" s="239">
        <f t="shared" ca="1" si="10"/>
        <v>6</v>
      </c>
      <c r="AD32" s="239">
        <f t="shared" ca="1" si="11"/>
        <v>0</v>
      </c>
      <c r="AE32" s="239">
        <f t="shared" ca="1" si="12"/>
        <v>0</v>
      </c>
      <c r="AF32" s="240">
        <f t="shared" si="13"/>
        <v>1E-3</v>
      </c>
      <c r="AG32" s="240">
        <f t="shared" si="14"/>
        <v>8.9999999999999998E-4</v>
      </c>
      <c r="AH32" s="240">
        <f t="shared" ca="1" si="15"/>
        <v>6.9999999999999999E-4</v>
      </c>
      <c r="AI32" s="240">
        <f t="shared" ca="1" si="16"/>
        <v>8.0000000000000004E-4</v>
      </c>
      <c r="AJ32" s="246"/>
    </row>
    <row r="33" spans="1:36" x14ac:dyDescent="0.2">
      <c r="A33" s="225">
        <f t="shared" ca="1" si="0"/>
        <v>4</v>
      </c>
      <c r="B33" s="226">
        <f t="shared" ca="1" si="1"/>
        <v>26</v>
      </c>
      <c r="C33" s="227" t="str">
        <f t="shared" si="2"/>
        <v/>
      </c>
      <c r="D33" s="228" t="str">
        <f t="shared" si="3"/>
        <v/>
      </c>
      <c r="E33" s="229">
        <f t="shared" ca="1" si="4"/>
        <v>26</v>
      </c>
      <c r="F33" s="243" t="s">
        <v>127</v>
      </c>
      <c r="G33" s="230" t="s">
        <v>119</v>
      </c>
      <c r="H33" s="231"/>
      <c r="I33" s="232">
        <f t="array" aca="1" ref="I33" ca="1">(IF(COUNT(P33,R33,Y33,AA33)&lt;3,SUM(P33,R33,Y33,AA33),SUM(LARGE((P33,R33,Y33,AA33),{1;2;3}))))+(IF(COUNT(Q33,S33,T33,X33)&lt;3,SUM(Q33,S33,T33,X33),SUM(LARGE((Q33,S33,T33,X33),{1;2;3}))))+(IF(COUNT(U33,V33,W33,Z33,AB33)&lt;3,SUM(U33,V33,W33,Z33,AB33),SUM(LARGE((U33,V33,W33,Z33,AB33),{1;2;3}))))</f>
        <v>92</v>
      </c>
      <c r="J33" s="233" t="str">
        <f ca="1">INDEX(ETAPP!B$1:B$32,MATCH(COUNTIF(P33:AB33,PIV!A$1),ETAPP!A$1:A$32,0))&amp;INDEX(ETAPP!B$1:B$32,MATCH(COUNTIF(P33:AB33,PIV!A$2),ETAPP!A$1:A$32,0))&amp;INDEX(ETAPP!B$1:B$32,MATCH(COUNTIF(P33:AB33,PIV!A$3),ETAPP!A$1:A$32,0))&amp;INDEX(ETAPP!B$1:B$32,MATCH(COUNTIF(P33:AB33,PIV!A$4),ETAPP!A$1:A$32,0))&amp;INDEX(ETAPP!B$1:B$32,MATCH(COUNTIF(P33:AB33,PIV!A$5),ETAPP!A$1:A$32,0))&amp;INDEX(ETAPP!B$1:B$32,MATCH(COUNTIF(P33:AB33,PIV!A$6),ETAPP!A$1:A$32,0))&amp;INDEX(ETAPP!B$1:B$32,MATCH(COUNTIF(P33:AB33,PIV!A$7),ETAPP!A$1:A$32,0))&amp;INDEX(ETAPP!B$1:B$32,MATCH(COUNTIF(P33:AB33,PIV!A$8),ETAPP!A$1:A$32,0))&amp;INDEX(ETAPP!B$1:B$32,MATCH(COUNTIF(P33:AB33,PIV!A$9),ETAPP!A$1:A$32,0))&amp;INDEX(ETAPP!B$1:B$32,MATCH(COUNTIF(P33:AB33,PIV!A$10),ETAPP!A$1:A$32,0))&amp;INDEX(ETAPP!B$1:B$32,MATCH(COUNTIF(P33:AB33,PIV!A$11),ETAPP!A$1:A$32,0))&amp;INDEX(ETAPP!B$1:B$32,MATCH(COUNTIF(P33:AB33,PIV!A$12),ETAPP!A$1:A$32,0))&amp;INDEX(ETAPP!B$1:B$32,MATCH(COUNTIF(P33:AB33,PIV!A$13),ETAPP!A$1:A$32,0))&amp;INDEX(ETAPP!B$1:B$32,MATCH(COUNTIF(P33:AB33,PIV!A$14),ETAPP!A$1:A$32,0))&amp;INDEX(ETAPP!B$1:B$32,MATCH(COUNTIF(P33:AB33,PIV!A$15),ETAPP!A$1:A$32,0))&amp;INDEX(ETAPP!B$1:B$32,MATCH(COUNTIF(P33:AB33,PIV!A$16),ETAPP!A$1:A$32,0))&amp;INDEX(ETAPP!B$1:B$32,MATCH(COUNTIF(P33:AB33,PIV!A$17),ETAPP!A$1:A$32,0))&amp;INDEX(ETAPP!B$1:B$32,MATCH(COUNTIF(P33:AB33,PIV!A$18),ETAPP!A$1:A$32,0))&amp;INDEX(ETAPP!B$1:B$32,MATCH(COUNTIF(P33:AB33,PIV!A$19),ETAPP!A$1:A$32,0))</f>
        <v>00AA00A0A000000000D</v>
      </c>
      <c r="K33" s="233" t="str">
        <f t="shared" ca="1" si="5"/>
        <v>092,0-00AA00A0A000000000D</v>
      </c>
      <c r="L33" s="234">
        <f t="shared" ca="1" si="6"/>
        <v>26</v>
      </c>
      <c r="M33" s="234">
        <f t="shared" si="7"/>
        <v>21</v>
      </c>
      <c r="N33" s="233" t="str">
        <f t="shared" ca="1" si="8"/>
        <v>092,0-00AA00A0A000000000D-021</v>
      </c>
      <c r="O33" s="235">
        <f t="shared" ca="1" si="9"/>
        <v>30</v>
      </c>
      <c r="P33" s="236" t="str">
        <f>IFERROR(INDEX('1'!C$300:C$400,MATCH("*"&amp;F33&amp;"*",'1'!B$300:B$400,0)),"  ")</f>
        <v xml:space="preserve">  </v>
      </c>
      <c r="Q33" s="237" t="str">
        <f>IFERROR(INDEX('2'!C$300:C$400,MATCH("*"&amp;F33&amp;"*",'2'!B$300:B$400,0)),"  ")</f>
        <v xml:space="preserve">  </v>
      </c>
      <c r="R33" s="237">
        <f>IFERROR(INDEX('3'!C$300:C$400,MATCH("*"&amp;F33&amp;"*",'3'!B$300:B$400,0)),"  ")</f>
        <v>30</v>
      </c>
      <c r="S33" s="237" t="str">
        <f>IFERROR(INDEX('4'!C$300:C$400,MATCH("*"&amp;F33&amp;"*",'4'!B$300:B$400,0)),"  ")</f>
        <v xml:space="preserve">  </v>
      </c>
      <c r="T33" s="237" t="str">
        <f>IFERROR(INDEX('5'!C$300:C$400,MATCH("*"&amp;F33&amp;"*",'5'!B$300:B$400,0)),"  ")</f>
        <v xml:space="preserve">  </v>
      </c>
      <c r="U33" s="237" t="str">
        <f>IFERROR(INDEX('6'!C$300:C$400,MATCH("*"&amp;F33&amp;"*",'6'!B$300:B$400,0)),"  ")</f>
        <v xml:space="preserve">  </v>
      </c>
      <c r="V33" s="237">
        <f>IFERROR(INDEX('7'!C$300:C$400,MATCH("*"&amp;F33&amp;"*",'7'!B$300:B$400,0)),"  ")</f>
        <v>16</v>
      </c>
      <c r="W33" s="237" t="str">
        <f ca="1">IFERROR(INDEX('8'!C$300:C$400,MATCH("*"&amp;F33&amp;"*",'8'!B$300:B$400,0)),"  ")</f>
        <v xml:space="preserve">  </v>
      </c>
      <c r="X33" s="237">
        <f>IFERROR(INDEX('9'!C$300:C$400,MATCH("*"&amp;F33&amp;"*",'9'!B$300:B$400,0)),"  ")</f>
        <v>20</v>
      </c>
      <c r="Y33" s="237" t="str">
        <f>IFERROR(INDEX('10'!C$300:C$400,MATCH("*"&amp;F33&amp;"*",'10'!B$300:B$400,0)),"  ")</f>
        <v xml:space="preserve">  </v>
      </c>
      <c r="Z33" s="236" t="str">
        <f>IFERROR(INDEX('11'!C$300:C$400,MATCH("*"&amp;F33&amp;"*",'11'!B$300:B$400,0)),"  ")</f>
        <v xml:space="preserve">  </v>
      </c>
      <c r="AA33" s="237">
        <f>IFERROR(INDEX('12'!C$300:C$400,MATCH("*"&amp;F33&amp;"*",'12'!B$300:B$400,0)),"  ")</f>
        <v>26</v>
      </c>
      <c r="AB33" s="237" t="str">
        <f>IFERROR(INDEX('13'!C$300:C$400,MATCH("*"&amp;F33&amp;"*",'13'!B$300:B$400,0)),"  ")</f>
        <v xml:space="preserve">  </v>
      </c>
      <c r="AC33" s="239">
        <f t="shared" ca="1" si="10"/>
        <v>4</v>
      </c>
      <c r="AD33" s="239">
        <f t="shared" ca="1" si="11"/>
        <v>1</v>
      </c>
      <c r="AE33" s="239">
        <f t="shared" ca="1" si="12"/>
        <v>0</v>
      </c>
      <c r="AF33" s="240">
        <f t="shared" si="13"/>
        <v>1E-4</v>
      </c>
      <c r="AG33" s="240">
        <f t="shared" si="14"/>
        <v>2.0000000000000001E-4</v>
      </c>
      <c r="AH33" s="240">
        <f t="shared" ca="1" si="15"/>
        <v>5.9999999999999995E-4</v>
      </c>
      <c r="AI33" s="240">
        <f t="shared" ca="1" si="16"/>
        <v>8.0000000000000004E-4</v>
      </c>
      <c r="AJ33" s="171"/>
    </row>
    <row r="34" spans="1:36" x14ac:dyDescent="0.2">
      <c r="A34" s="225" t="str">
        <f t="shared" si="0"/>
        <v/>
      </c>
      <c r="B34" s="226" t="str">
        <f t="shared" si="1"/>
        <v/>
      </c>
      <c r="C34" s="227" t="str">
        <f t="shared" si="2"/>
        <v/>
      </c>
      <c r="D34" s="228" t="str">
        <f t="shared" si="3"/>
        <v/>
      </c>
      <c r="E34" s="229">
        <f t="shared" ca="1" si="4"/>
        <v>27</v>
      </c>
      <c r="F34" s="191" t="s">
        <v>136</v>
      </c>
      <c r="G34" s="230"/>
      <c r="H34" s="231"/>
      <c r="I34" s="232">
        <f t="array" aca="1" ref="I34" ca="1">(IF(COUNT(P34,R34,Y34,AA34)&lt;3,SUM(P34,R34,Y34,AA34),SUM(LARGE((P34,R34,Y34,AA34),{1;2;3}))))+(IF(COUNT(Q34,S34,T34,X34)&lt;3,SUM(Q34,S34,T34,X34),SUM(LARGE((Q34,S34,T34,X34),{1;2;3}))))+(IF(COUNT(U34,V34,W34,Z34,AB34)&lt;3,SUM(U34,V34,W34,Z34,AB34),SUM(LARGE((U34,V34,W34,Z34,AB34),{1;2;3}))))</f>
        <v>92</v>
      </c>
      <c r="J34" s="233" t="str">
        <f ca="1">INDEX(ETAPP!B$1:B$32,MATCH(COUNTIF(P34:AB34,PIV!A$1),ETAPP!A$1:A$32,0))&amp;INDEX(ETAPP!B$1:B$32,MATCH(COUNTIF(P34:AB34,PIV!A$2),ETAPP!A$1:A$32,0))&amp;INDEX(ETAPP!B$1:B$32,MATCH(COUNTIF(P34:AB34,PIV!A$3),ETAPP!A$1:A$32,0))&amp;INDEX(ETAPP!B$1:B$32,MATCH(COUNTIF(P34:AB34,PIV!A$4),ETAPP!A$1:A$32,0))&amp;INDEX(ETAPP!B$1:B$32,MATCH(COUNTIF(P34:AB34,PIV!A$5),ETAPP!A$1:A$32,0))&amp;INDEX(ETAPP!B$1:B$32,MATCH(COUNTIF(P34:AB34,PIV!A$6),ETAPP!A$1:A$32,0))&amp;INDEX(ETAPP!B$1:B$32,MATCH(COUNTIF(P34:AB34,PIV!A$7),ETAPP!A$1:A$32,0))&amp;INDEX(ETAPP!B$1:B$32,MATCH(COUNTIF(P34:AB34,PIV!A$8),ETAPP!A$1:A$32,0))&amp;INDEX(ETAPP!B$1:B$32,MATCH(COUNTIF(P34:AB34,PIV!A$9),ETAPP!A$1:A$32,0))&amp;INDEX(ETAPP!B$1:B$32,MATCH(COUNTIF(P34:AB34,PIV!A$10),ETAPP!A$1:A$32,0))&amp;INDEX(ETAPP!B$1:B$32,MATCH(COUNTIF(P34:AB34,PIV!A$11),ETAPP!A$1:A$32,0))&amp;INDEX(ETAPP!B$1:B$32,MATCH(COUNTIF(P34:AB34,PIV!A$12),ETAPP!A$1:A$32,0))&amp;INDEX(ETAPP!B$1:B$32,MATCH(COUNTIF(P34:AB34,PIV!A$13),ETAPP!A$1:A$32,0))&amp;INDEX(ETAPP!B$1:B$32,MATCH(COUNTIF(P34:AB34,PIV!A$14),ETAPP!A$1:A$32,0))&amp;INDEX(ETAPP!B$1:B$32,MATCH(COUNTIF(P34:AB34,PIV!A$15),ETAPP!A$1:A$32,0))&amp;INDEX(ETAPP!B$1:B$32,MATCH(COUNTIF(P34:AB34,PIV!A$16),ETAPP!A$1:A$32,0))&amp;INDEX(ETAPP!B$1:B$32,MATCH(COUNTIF(P34:AB34,PIV!A$17),ETAPP!A$1:A$32,0))&amp;INDEX(ETAPP!B$1:B$32,MATCH(COUNTIF(P34:AB34,PIV!A$18),ETAPP!A$1:A$32,0))&amp;INDEX(ETAPP!B$1:B$32,MATCH(COUNTIF(P34:AB34,PIV!A$19),ETAPP!A$1:A$32,0))</f>
        <v>00000A0CAA000000B0E</v>
      </c>
      <c r="K34" s="233" t="str">
        <f t="shared" ca="1" si="5"/>
        <v>092,0-00000A0CAA000000B0E</v>
      </c>
      <c r="L34" s="234">
        <f t="shared" ca="1" si="6"/>
        <v>27</v>
      </c>
      <c r="M34" s="234">
        <f t="shared" si="7"/>
        <v>29</v>
      </c>
      <c r="N34" s="233" t="str">
        <f t="shared" ca="1" si="8"/>
        <v>092,0-00000A0CAA000000B0E-029</v>
      </c>
      <c r="O34" s="235">
        <f t="shared" ca="1" si="9"/>
        <v>29</v>
      </c>
      <c r="P34" s="236">
        <f>IFERROR(INDEX('1'!C$300:C$400,MATCH("*"&amp;F34&amp;"*",'1'!B$300:B$400,0)),"  ")</f>
        <v>18</v>
      </c>
      <c r="Q34" s="237">
        <f>IFERROR(INDEX('2'!C$300:C$400,MATCH("*"&amp;F34&amp;"*",'2'!B$300:B$400,0)),"  ")</f>
        <v>18</v>
      </c>
      <c r="R34" s="237">
        <f>IFERROR(INDEX('3'!C$300:C$400,MATCH("*"&amp;F34&amp;"*",'3'!B$300:B$400,0)),"  ")</f>
        <v>18</v>
      </c>
      <c r="S34" s="237">
        <f>IFERROR(INDEX('4'!C$300:C$400,MATCH("*"&amp;F34&amp;"*",'4'!B$300:B$400,0)),"  ")</f>
        <v>14</v>
      </c>
      <c r="T34" s="237" t="str">
        <f>IFERROR(INDEX('5'!C$300:C$400,MATCH("*"&amp;F34&amp;"*",'5'!B$300:B$400,0)),"  ")</f>
        <v xml:space="preserve">  </v>
      </c>
      <c r="U34" s="237">
        <f>IFERROR(INDEX('6'!C$300:C$400,MATCH("*"&amp;F34&amp;"*",'6'!B$300:B$400,0)),"  ")</f>
        <v>1</v>
      </c>
      <c r="V34" s="237" t="str">
        <f>IFERROR(INDEX('7'!C$300:C$400,MATCH("*"&amp;F34&amp;"*",'7'!B$300:B$400,0)),"  ")</f>
        <v xml:space="preserve">  </v>
      </c>
      <c r="W34" s="237" t="str">
        <f ca="1">IFERROR(INDEX('8'!C$300:C$400,MATCH("*"&amp;F34&amp;"*",'8'!B$300:B$400,0)),"  ")</f>
        <v xml:space="preserve">  </v>
      </c>
      <c r="X34" s="237" t="str">
        <f>IFERROR(INDEX('9'!C$300:C$400,MATCH("*"&amp;F34&amp;"*",'9'!B$300:B$400,0)),"  ")</f>
        <v xml:space="preserve">  </v>
      </c>
      <c r="Y34" s="237">
        <f>IFERROR(INDEX('10'!C$300:C$400,MATCH("*"&amp;F34&amp;"*",'10'!B$300:B$400,0)),"  ")</f>
        <v>22</v>
      </c>
      <c r="Z34" s="236">
        <f>IFERROR(INDEX('11'!C$300:C$400,MATCH("*"&amp;F34&amp;"*",'11'!B$300:B$400,0)),"  ")</f>
        <v>1</v>
      </c>
      <c r="AA34" s="237">
        <f>IFERROR(INDEX('12'!C$300:C$400,MATCH("*"&amp;F34&amp;"*",'12'!B$300:B$400,0)),"  ")</f>
        <v>16</v>
      </c>
      <c r="AB34" s="237" t="str">
        <f>IFERROR(INDEX('13'!C$300:C$400,MATCH("*"&amp;F34&amp;"*",'13'!B$300:B$400,0)),"  ")</f>
        <v xml:space="preserve">  </v>
      </c>
      <c r="AC34" s="239">
        <f t="shared" ca="1" si="10"/>
        <v>8</v>
      </c>
      <c r="AD34" s="239">
        <f t="shared" ca="1" si="11"/>
        <v>0</v>
      </c>
      <c r="AE34" s="239">
        <f t="shared" ca="1" si="12"/>
        <v>0</v>
      </c>
      <c r="AF34" s="240">
        <f t="shared" si="13"/>
        <v>16.001200000000001</v>
      </c>
      <c r="AG34" s="240">
        <f t="shared" si="14"/>
        <v>5.0000000000000001E-4</v>
      </c>
      <c r="AH34" s="240">
        <f t="shared" ca="1" si="15"/>
        <v>6.9999999999999999E-4</v>
      </c>
      <c r="AI34" s="240">
        <f t="shared" ca="1" si="16"/>
        <v>8.0000000000000004E-4</v>
      </c>
      <c r="AJ34" s="171"/>
    </row>
    <row r="35" spans="1:36" x14ac:dyDescent="0.2">
      <c r="A35" s="225" t="str">
        <f t="shared" si="0"/>
        <v/>
      </c>
      <c r="B35" s="226" t="str">
        <f t="shared" si="1"/>
        <v/>
      </c>
      <c r="C35" s="227" t="str">
        <f t="shared" si="2"/>
        <v/>
      </c>
      <c r="D35" s="228" t="str">
        <f t="shared" si="3"/>
        <v/>
      </c>
      <c r="E35" s="229">
        <f t="shared" ca="1" si="4"/>
        <v>28</v>
      </c>
      <c r="F35" s="245" t="s">
        <v>139</v>
      </c>
      <c r="G35" s="230"/>
      <c r="H35" s="231"/>
      <c r="I35" s="232">
        <f t="array" aca="1" ref="I35" ca="1">(IF(COUNT(P35,R35,Y35,AA35)&lt;3,SUM(P35,R35,Y35,AA35),SUM(LARGE((P35,R35,Y35,AA35),{1;2;3}))))+(IF(COUNT(Q35,S35,T35,X35)&lt;3,SUM(Q35,S35,T35,X35),SUM(LARGE((Q35,S35,T35,X35),{1;2;3}))))+(IF(COUNT(U35,V35,W35,Z35,AB35)&lt;3,SUM(U35,V35,W35,Z35,AB35),SUM(LARGE((U35,V35,W35,Z35,AB35),{1;2;3}))))</f>
        <v>88</v>
      </c>
      <c r="J35" s="233" t="str">
        <f ca="1">INDEX(ETAPP!B$1:B$32,MATCH(COUNTIF(P35:AB35,PIV!A$1),ETAPP!A$1:A$32,0))&amp;INDEX(ETAPP!B$1:B$32,MATCH(COUNTIF(P35:AB35,PIV!A$2),ETAPP!A$1:A$32,0))&amp;INDEX(ETAPP!B$1:B$32,MATCH(COUNTIF(P35:AB35,PIV!A$3),ETAPP!A$1:A$32,0))&amp;INDEX(ETAPP!B$1:B$32,MATCH(COUNTIF(P35:AB35,PIV!A$4),ETAPP!A$1:A$32,0))&amp;INDEX(ETAPP!B$1:B$32,MATCH(COUNTIF(P35:AB35,PIV!A$5),ETAPP!A$1:A$32,0))&amp;INDEX(ETAPP!B$1:B$32,MATCH(COUNTIF(P35:AB35,PIV!A$6),ETAPP!A$1:A$32,0))&amp;INDEX(ETAPP!B$1:B$32,MATCH(COUNTIF(P35:AB35,PIV!A$7),ETAPP!A$1:A$32,0))&amp;INDEX(ETAPP!B$1:B$32,MATCH(COUNTIF(P35:AB35,PIV!A$8),ETAPP!A$1:A$32,0))&amp;INDEX(ETAPP!B$1:B$32,MATCH(COUNTIF(P35:AB35,PIV!A$9),ETAPP!A$1:A$32,0))&amp;INDEX(ETAPP!B$1:B$32,MATCH(COUNTIF(P35:AB35,PIV!A$10),ETAPP!A$1:A$32,0))&amp;INDEX(ETAPP!B$1:B$32,MATCH(COUNTIF(P35:AB35,PIV!A$11),ETAPP!A$1:A$32,0))&amp;INDEX(ETAPP!B$1:B$32,MATCH(COUNTIF(P35:AB35,PIV!A$12),ETAPP!A$1:A$32,0))&amp;INDEX(ETAPP!B$1:B$32,MATCH(COUNTIF(P35:AB35,PIV!A$13),ETAPP!A$1:A$32,0))&amp;INDEX(ETAPP!B$1:B$32,MATCH(COUNTIF(P35:AB35,PIV!A$14),ETAPP!A$1:A$32,0))&amp;INDEX(ETAPP!B$1:B$32,MATCH(COUNTIF(P35:AB35,PIV!A$15),ETAPP!A$1:A$32,0))&amp;INDEX(ETAPP!B$1:B$32,MATCH(COUNTIF(P35:AB35,PIV!A$16),ETAPP!A$1:A$32,0))&amp;INDEX(ETAPP!B$1:B$32,MATCH(COUNTIF(P35:AB35,PIV!A$17),ETAPP!A$1:A$32,0))&amp;INDEX(ETAPP!B$1:B$32,MATCH(COUNTIF(P35:AB35,PIV!A$18),ETAPP!A$1:A$32,0))&amp;INDEX(ETAPP!B$1:B$32,MATCH(COUNTIF(P35:AB35,PIV!A$19),ETAPP!A$1:A$32,0))</f>
        <v>000A00AA000AAA0000G</v>
      </c>
      <c r="K35" s="233" t="str">
        <f t="shared" ca="1" si="5"/>
        <v>088,0-000A00AA000AAA0000G</v>
      </c>
      <c r="L35" s="234">
        <f t="shared" ca="1" si="6"/>
        <v>28</v>
      </c>
      <c r="M35" s="234">
        <f t="shared" si="7"/>
        <v>38</v>
      </c>
      <c r="N35" s="233" t="str">
        <f t="shared" ca="1" si="8"/>
        <v>088,0-000A00AA000AAA0000G-038</v>
      </c>
      <c r="O35" s="235">
        <f t="shared" ca="1" si="9"/>
        <v>28</v>
      </c>
      <c r="P35" s="236">
        <f>IFERROR(INDEX('1'!C$300:C$400,MATCH("*"&amp;F35&amp;"*",'1'!B$300:B$400,0)),"  ")</f>
        <v>26</v>
      </c>
      <c r="Q35" s="237">
        <f>IFERROR(INDEX('2'!C$300:C$400,MATCH("*"&amp;F35&amp;"*",'2'!B$300:B$400,0)),"  ")</f>
        <v>8</v>
      </c>
      <c r="R35" s="237">
        <f>IFERROR(INDEX('3'!C$300:C$400,MATCH("*"&amp;F35&amp;"*",'3'!B$300:B$400,0)),"  ")</f>
        <v>10</v>
      </c>
      <c r="S35" s="237">
        <f>IFERROR(INDEX('4'!C$300:C$400,MATCH("*"&amp;F35&amp;"*",'4'!B$300:B$400,0)),"  ")</f>
        <v>6</v>
      </c>
      <c r="T35" s="237" t="str">
        <f>IFERROR(INDEX('5'!C$300:C$400,MATCH("*"&amp;F35&amp;"*",'5'!B$300:B$400,0)),"  ")</f>
        <v xml:space="preserve">  </v>
      </c>
      <c r="U35" s="237" t="str">
        <f>IFERROR(INDEX('6'!C$300:C$400,MATCH("*"&amp;F35&amp;"*",'6'!B$300:B$400,0)),"  ")</f>
        <v xml:space="preserve">  </v>
      </c>
      <c r="V35" s="237" t="str">
        <f>IFERROR(INDEX('7'!C$300:C$400,MATCH("*"&amp;F35&amp;"*",'7'!B$300:B$400,0)),"  ")</f>
        <v xml:space="preserve">  </v>
      </c>
      <c r="W35" s="237" t="str">
        <f ca="1">IFERROR(INDEX('8'!C$300:C$400,MATCH("*"&amp;F35&amp;"*",'8'!B$300:B$400,0)),"  ")</f>
        <v xml:space="preserve">  </v>
      </c>
      <c r="X35" s="237" t="str">
        <f>IFERROR(INDEX('9'!C$300:C$400,MATCH("*"&amp;F35&amp;"*",'9'!B$300:B$400,0)),"  ")</f>
        <v xml:space="preserve">  </v>
      </c>
      <c r="Y35" s="237" t="str">
        <f>IFERROR(INDEX('10'!C$300:C$400,MATCH("*"&amp;F35&amp;"*",'10'!B$300:B$400,0)),"  ")</f>
        <v xml:space="preserve">  </v>
      </c>
      <c r="Z35" s="236" t="str">
        <f>IFERROR(INDEX('11'!C$300:C$400,MATCH("*"&amp;F35&amp;"*",'11'!B$300:B$400,0)),"  ")</f>
        <v xml:space="preserve">  </v>
      </c>
      <c r="AA35" s="237">
        <f>IFERROR(INDEX('12'!C$300:C$400,MATCH("*"&amp;F35&amp;"*",'12'!B$300:B$400,0)),"  ")</f>
        <v>18</v>
      </c>
      <c r="AB35" s="237">
        <f>IFERROR(INDEX('13'!C$300:C$400,MATCH("*"&amp;F35&amp;"*",'13'!B$300:B$400,0)),"  ")</f>
        <v>20</v>
      </c>
      <c r="AC35" s="239">
        <f t="shared" ca="1" si="10"/>
        <v>6</v>
      </c>
      <c r="AD35" s="239">
        <f t="shared" ca="1" si="11"/>
        <v>0</v>
      </c>
      <c r="AE35" s="239">
        <f t="shared" ca="1" si="12"/>
        <v>0</v>
      </c>
      <c r="AF35" s="240">
        <f t="shared" si="13"/>
        <v>1E-3</v>
      </c>
      <c r="AG35" s="240">
        <f t="shared" si="14"/>
        <v>5.0000000000000001E-4</v>
      </c>
      <c r="AH35" s="240">
        <f t="shared" ca="1" si="15"/>
        <v>5.9999999999999995E-4</v>
      </c>
      <c r="AI35" s="240" t="e">
        <f t="shared" ca="1" si="16"/>
        <v>#VALUE!</v>
      </c>
      <c r="AJ35" s="171"/>
    </row>
    <row r="36" spans="1:36" x14ac:dyDescent="0.2">
      <c r="A36" s="225" t="str">
        <f t="shared" si="0"/>
        <v/>
      </c>
      <c r="B36" s="226" t="str">
        <f t="shared" si="1"/>
        <v/>
      </c>
      <c r="C36" s="227" t="str">
        <f t="shared" si="2"/>
        <v/>
      </c>
      <c r="D36" s="228" t="str">
        <f t="shared" si="3"/>
        <v/>
      </c>
      <c r="E36" s="229">
        <f t="shared" ca="1" si="4"/>
        <v>29</v>
      </c>
      <c r="F36" s="245" t="s">
        <v>143</v>
      </c>
      <c r="G36" s="230"/>
      <c r="H36" s="231"/>
      <c r="I36" s="232">
        <f t="array" aca="1" ref="I36" ca="1">(IF(COUNT(P36,R36,Y36,AA36)&lt;3,SUM(P36,R36,Y36,AA36),SUM(LARGE((P36,R36,Y36,AA36),{1;2;3}))))+(IF(COUNT(Q36,S36,T36,X36)&lt;3,SUM(Q36,S36,T36,X36),SUM(LARGE((Q36,S36,T36,X36),{1;2;3}))))+(IF(COUNT(U36,V36,W36,Z36,AB36)&lt;3,SUM(U36,V36,W36,Z36,AB36),SUM(LARGE((U36,V36,W36,Z36,AB36),{1;2;3}))))</f>
        <v>80</v>
      </c>
      <c r="J36" s="233" t="str">
        <f ca="1">INDEX(ETAPP!B$1:B$32,MATCH(COUNTIF(P36:AB36,PIV!A$1),ETAPP!A$1:A$32,0))&amp;INDEX(ETAPP!B$1:B$32,MATCH(COUNTIF(P36:AB36,PIV!A$2),ETAPP!A$1:A$32,0))&amp;INDEX(ETAPP!B$1:B$32,MATCH(COUNTIF(P36:AB36,PIV!A$3),ETAPP!A$1:A$32,0))&amp;INDEX(ETAPP!B$1:B$32,MATCH(COUNTIF(P36:AB36,PIV!A$4),ETAPP!A$1:A$32,0))&amp;INDEX(ETAPP!B$1:B$32,MATCH(COUNTIF(P36:AB36,PIV!A$5),ETAPP!A$1:A$32,0))&amp;INDEX(ETAPP!B$1:B$32,MATCH(COUNTIF(P36:AB36,PIV!A$6),ETAPP!A$1:A$32,0))&amp;INDEX(ETAPP!B$1:B$32,MATCH(COUNTIF(P36:AB36,PIV!A$7),ETAPP!A$1:A$32,0))&amp;INDEX(ETAPP!B$1:B$32,MATCH(COUNTIF(P36:AB36,PIV!A$8),ETAPP!A$1:A$32,0))&amp;INDEX(ETAPP!B$1:B$32,MATCH(COUNTIF(P36:AB36,PIV!A$9),ETAPP!A$1:A$32,0))&amp;INDEX(ETAPP!B$1:B$32,MATCH(COUNTIF(P36:AB36,PIV!A$10),ETAPP!A$1:A$32,0))&amp;INDEX(ETAPP!B$1:B$32,MATCH(COUNTIF(P36:AB36,PIV!A$11),ETAPP!A$1:A$32,0))&amp;INDEX(ETAPP!B$1:B$32,MATCH(COUNTIF(P36:AB36,PIV!A$12),ETAPP!A$1:A$32,0))&amp;INDEX(ETAPP!B$1:B$32,MATCH(COUNTIF(P36:AB36,PIV!A$13),ETAPP!A$1:A$32,0))&amp;INDEX(ETAPP!B$1:B$32,MATCH(COUNTIF(P36:AB36,PIV!A$14),ETAPP!A$1:A$32,0))&amp;INDEX(ETAPP!B$1:B$32,MATCH(COUNTIF(P36:AB36,PIV!A$15),ETAPP!A$1:A$32,0))&amp;INDEX(ETAPP!B$1:B$32,MATCH(COUNTIF(P36:AB36,PIV!A$16),ETAPP!A$1:A$32,0))&amp;INDEX(ETAPP!B$1:B$32,MATCH(COUNTIF(P36:AB36,PIV!A$17),ETAPP!A$1:A$32,0))&amp;INDEX(ETAPP!B$1:B$32,MATCH(COUNTIF(P36:AB36,PIV!A$18),ETAPP!A$1:A$32,0))&amp;INDEX(ETAPP!B$1:B$32,MATCH(COUNTIF(P36:AB36,PIV!A$19),ETAPP!A$1:A$32,0))</f>
        <v>00AAA0000000000000E</v>
      </c>
      <c r="K36" s="233" t="str">
        <f t="shared" ca="1" si="5"/>
        <v>080,0-00AAA0000000000000E</v>
      </c>
      <c r="L36" s="234">
        <f t="shared" ca="1" si="6"/>
        <v>29</v>
      </c>
      <c r="M36" s="234">
        <f t="shared" si="7"/>
        <v>6</v>
      </c>
      <c r="N36" s="233" t="str">
        <f t="shared" ca="1" si="8"/>
        <v>080,0-00AAA0000000000000E-006</v>
      </c>
      <c r="O36" s="235">
        <f t="shared" ca="1" si="9"/>
        <v>27</v>
      </c>
      <c r="P36" s="236">
        <f>IFERROR(INDEX('1'!C$300:C$400,MATCH("*"&amp;F36&amp;"*",'1'!B$300:B$400,0)),"  ")</f>
        <v>24</v>
      </c>
      <c r="Q36" s="237" t="str">
        <f>IFERROR(INDEX('2'!C$300:C$400,MATCH("*"&amp;F36&amp;"*",'2'!B$300:B$400,0)),"  ")</f>
        <v xml:space="preserve">  </v>
      </c>
      <c r="R36" s="237">
        <f>IFERROR(INDEX('3'!C$300:C$400,MATCH("*"&amp;F36&amp;"*",'3'!B$300:B$400,0)),"  ")</f>
        <v>26</v>
      </c>
      <c r="S36" s="237" t="str">
        <f>IFERROR(INDEX('4'!C$300:C$400,MATCH("*"&amp;F36&amp;"*",'4'!B$300:B$400,0)),"  ")</f>
        <v xml:space="preserve">  </v>
      </c>
      <c r="T36" s="237" t="str">
        <f>IFERROR(INDEX('5'!C$300:C$400,MATCH("*"&amp;F36&amp;"*",'5'!B$300:B$400,0)),"  ")</f>
        <v xml:space="preserve">  </v>
      </c>
      <c r="U36" s="237" t="str">
        <f>IFERROR(INDEX('6'!C$300:C$400,MATCH("*"&amp;F36&amp;"*",'6'!B$300:B$400,0)),"  ")</f>
        <v xml:space="preserve">  </v>
      </c>
      <c r="V36" s="237" t="str">
        <f>IFERROR(INDEX('7'!C$300:C$400,MATCH("*"&amp;F36&amp;"*",'7'!B$300:B$400,0)),"  ")</f>
        <v xml:space="preserve">  </v>
      </c>
      <c r="W36" s="237">
        <f ca="1">IFERROR(INDEX('8'!C$300:C$400,MATCH("*"&amp;F36&amp;"*",'8'!B$300:B$400,0)),"  ")</f>
        <v>30</v>
      </c>
      <c r="X36" s="237" t="str">
        <f>IFERROR(INDEX('9'!C$300:C$400,MATCH("*"&amp;F36&amp;"*",'9'!B$300:B$400,0)),"  ")</f>
        <v xml:space="preserve">  </v>
      </c>
      <c r="Y36" s="237" t="str">
        <f>IFERROR(INDEX('10'!C$300:C$400,MATCH("*"&amp;F36&amp;"*",'10'!B$300:B$400,0)),"  ")</f>
        <v xml:space="preserve">  </v>
      </c>
      <c r="Z36" s="236" t="str">
        <f>IFERROR(INDEX('11'!C$300:C$400,MATCH("*"&amp;F36&amp;"*",'11'!B$300:B$400,0)),"  ")</f>
        <v xml:space="preserve">  </v>
      </c>
      <c r="AA36" s="237" t="str">
        <f>IFERROR(INDEX('12'!C$300:C$400,MATCH("*"&amp;F36&amp;"*",'12'!B$300:B$400,0)),"  ")</f>
        <v xml:space="preserve">  </v>
      </c>
      <c r="AB36" s="237" t="str">
        <f>IFERROR(INDEX('13'!C$300:C$400,MATCH("*"&amp;F36&amp;"*",'13'!B$300:B$400,0)),"  ")</f>
        <v xml:space="preserve">  </v>
      </c>
      <c r="AC36" s="239">
        <f t="shared" ca="1" si="10"/>
        <v>3</v>
      </c>
      <c r="AD36" s="239">
        <f t="shared" ca="1" si="11"/>
        <v>1</v>
      </c>
      <c r="AE36" s="239">
        <f t="shared" ca="1" si="12"/>
        <v>0</v>
      </c>
      <c r="AF36" s="240">
        <f t="shared" si="13"/>
        <v>1E-3</v>
      </c>
      <c r="AG36" s="240">
        <f t="shared" si="14"/>
        <v>2.0000000000000001E-4</v>
      </c>
      <c r="AH36" s="240">
        <f t="shared" ca="1" si="15"/>
        <v>5.9999999999999995E-4</v>
      </c>
      <c r="AI36" s="240" t="e">
        <f t="shared" ca="1" si="16"/>
        <v>#VALUE!</v>
      </c>
      <c r="AJ36" s="251"/>
    </row>
    <row r="37" spans="1:36" x14ac:dyDescent="0.2">
      <c r="A37" s="225" t="str">
        <f t="shared" si="0"/>
        <v/>
      </c>
      <c r="B37" s="226" t="str">
        <f t="shared" si="1"/>
        <v/>
      </c>
      <c r="C37" s="227" t="str">
        <f t="shared" si="2"/>
        <v/>
      </c>
      <c r="D37" s="228" t="str">
        <f t="shared" si="3"/>
        <v/>
      </c>
      <c r="E37" s="229">
        <f t="shared" ca="1" si="4"/>
        <v>30</v>
      </c>
      <c r="F37" s="191" t="s">
        <v>126</v>
      </c>
      <c r="G37" s="230"/>
      <c r="H37" s="231"/>
      <c r="I37" s="232">
        <f t="array" aca="1" ref="I37" ca="1">(IF(COUNT(P37,R37,Y37,AA37)&lt;3,SUM(P37,R37,Y37,AA37),SUM(LARGE((P37,R37,Y37,AA37),{1;2;3}))))+(IF(COUNT(Q37,S37,T37,X37)&lt;3,SUM(Q37,S37,T37,X37),SUM(LARGE((Q37,S37,T37,X37),{1;2;3}))))+(IF(COUNT(U37,V37,W37,Z37,AB37)&lt;3,SUM(U37,V37,W37,Z37,AB37),SUM(LARGE((U37,V37,W37,Z37,AB37),{1;2;3}))))</f>
        <v>79</v>
      </c>
      <c r="J37" s="233" t="str">
        <f ca="1">INDEX(ETAPP!B$1:B$32,MATCH(COUNTIF(P37:AB37,PIV!A$1),ETAPP!A$1:A$32,0))&amp;INDEX(ETAPP!B$1:B$32,MATCH(COUNTIF(P37:AB37,PIV!A$2),ETAPP!A$1:A$32,0))&amp;INDEX(ETAPP!B$1:B$32,MATCH(COUNTIF(P37:AB37,PIV!A$3),ETAPP!A$1:A$32,0))&amp;INDEX(ETAPP!B$1:B$32,MATCH(COUNTIF(P37:AB37,PIV!A$4),ETAPP!A$1:A$32,0))&amp;INDEX(ETAPP!B$1:B$32,MATCH(COUNTIF(P37:AB37,PIV!A$5),ETAPP!A$1:A$32,0))&amp;INDEX(ETAPP!B$1:B$32,MATCH(COUNTIF(P37:AB37,PIV!A$6),ETAPP!A$1:A$32,0))&amp;INDEX(ETAPP!B$1:B$32,MATCH(COUNTIF(P37:AB37,PIV!A$7),ETAPP!A$1:A$32,0))&amp;INDEX(ETAPP!B$1:B$32,MATCH(COUNTIF(P37:AB37,PIV!A$8),ETAPP!A$1:A$32,0))&amp;INDEX(ETAPP!B$1:B$32,MATCH(COUNTIF(P37:AB37,PIV!A$9),ETAPP!A$1:A$32,0))&amp;INDEX(ETAPP!B$1:B$32,MATCH(COUNTIF(P37:AB37,PIV!A$10),ETAPP!A$1:A$32,0))&amp;INDEX(ETAPP!B$1:B$32,MATCH(COUNTIF(P37:AB37,PIV!A$11),ETAPP!A$1:A$32,0))&amp;INDEX(ETAPP!B$1:B$32,MATCH(COUNTIF(P37:AB37,PIV!A$12),ETAPP!A$1:A$32,0))&amp;INDEX(ETAPP!B$1:B$32,MATCH(COUNTIF(P37:AB37,PIV!A$13),ETAPP!A$1:A$32,0))&amp;INDEX(ETAPP!B$1:B$32,MATCH(COUNTIF(P37:AB37,PIV!A$14),ETAPP!A$1:A$32,0))&amp;INDEX(ETAPP!B$1:B$32,MATCH(COUNTIF(P37:AB37,PIV!A$15),ETAPP!A$1:A$32,0))&amp;INDEX(ETAPP!B$1:B$32,MATCH(COUNTIF(P37:AB37,PIV!A$16),ETAPP!A$1:A$32,0))&amp;INDEX(ETAPP!B$1:B$32,MATCH(COUNTIF(P37:AB37,PIV!A$17),ETAPP!A$1:A$32,0))&amp;INDEX(ETAPP!B$1:B$32,MATCH(COUNTIF(P37:AB37,PIV!A$18),ETAPP!A$1:A$32,0))&amp;INDEX(ETAPP!B$1:B$32,MATCH(COUNTIF(P37:AB37,PIV!A$19),ETAPP!A$1:A$32,0))</f>
        <v>00A00000AAA00A00A0G</v>
      </c>
      <c r="K37" s="233" t="str">
        <f t="shared" ca="1" si="5"/>
        <v>079,0-00A00000AAA00A00A0G</v>
      </c>
      <c r="L37" s="234">
        <f t="shared" ca="1" si="6"/>
        <v>30</v>
      </c>
      <c r="M37" s="234">
        <f t="shared" si="7"/>
        <v>5</v>
      </c>
      <c r="N37" s="233" t="str">
        <f t="shared" ca="1" si="8"/>
        <v>079,0-00A00000AAA00A00A0G-005</v>
      </c>
      <c r="O37" s="235">
        <f t="shared" ca="1" si="9"/>
        <v>26</v>
      </c>
      <c r="P37" s="236" t="str">
        <f>IFERROR(INDEX('1'!C$300:C$400,MATCH("*"&amp;F37&amp;"*",'1'!B$300:B$400,0)),"  ")</f>
        <v xml:space="preserve">  </v>
      </c>
      <c r="Q37" s="237">
        <f>IFERROR(INDEX('2'!C$300:C$400,MATCH("*"&amp;F37&amp;"*",'2'!B$300:B$400,0)),"  ")</f>
        <v>6</v>
      </c>
      <c r="R37" s="237">
        <f>IFERROR(INDEX('3'!C$300:C$400,MATCH("*"&amp;F37&amp;"*",'3'!B$300:B$400,0)),"  ")</f>
        <v>14</v>
      </c>
      <c r="S37" s="237">
        <f>IFERROR(INDEX('4'!C$300:C$400,MATCH("*"&amp;F37&amp;"*",'4'!B$300:B$400,0)),"  ")</f>
        <v>30</v>
      </c>
      <c r="T37" s="237" t="str">
        <f>IFERROR(INDEX('5'!C$300:C$400,MATCH("*"&amp;F37&amp;"*",'5'!B$300:B$400,0)),"  ")</f>
        <v xml:space="preserve">  </v>
      </c>
      <c r="U37" s="237" t="str">
        <f>IFERROR(INDEX('6'!C$300:C$400,MATCH("*"&amp;F37&amp;"*",'6'!B$300:B$400,0)),"  ")</f>
        <v xml:space="preserve">  </v>
      </c>
      <c r="V37" s="237">
        <f>IFERROR(INDEX('7'!C$300:C$400,MATCH("*"&amp;F37&amp;"*",'7'!B$300:B$400,0)),"  ")</f>
        <v>1</v>
      </c>
      <c r="W37" s="237">
        <f ca="1">IFERROR(INDEX('8'!C$300:C$400,MATCH("*"&amp;F37&amp;"*",'8'!B$300:B$400,0)),"  ")</f>
        <v>12</v>
      </c>
      <c r="X37" s="237" t="str">
        <f>IFERROR(INDEX('9'!C$300:C$400,MATCH("*"&amp;F37&amp;"*",'9'!B$300:B$400,0)),"  ")</f>
        <v xml:space="preserve">  </v>
      </c>
      <c r="Y37" s="237" t="str">
        <f>IFERROR(INDEX('10'!C$300:C$400,MATCH("*"&amp;F37&amp;"*",'10'!B$300:B$400,0)),"  ")</f>
        <v xml:space="preserve">  </v>
      </c>
      <c r="Z37" s="236" t="str">
        <f>IFERROR(INDEX('11'!C$300:C$400,MATCH("*"&amp;F37&amp;"*",'11'!B$300:B$400,0)),"  ")</f>
        <v xml:space="preserve">  </v>
      </c>
      <c r="AA37" s="237">
        <f>IFERROR(INDEX('12'!C$300:C$400,MATCH("*"&amp;F37&amp;"*",'12'!B$300:B$400,0)),"  ")</f>
        <v>16</v>
      </c>
      <c r="AB37" s="237" t="str">
        <f>IFERROR(INDEX('13'!C$300:C$400,MATCH("*"&amp;F37&amp;"*",'13'!B$300:B$400,0)),"  ")</f>
        <v xml:space="preserve">  </v>
      </c>
      <c r="AC37" s="239">
        <f t="shared" ca="1" si="10"/>
        <v>6</v>
      </c>
      <c r="AD37" s="239">
        <f t="shared" ca="1" si="11"/>
        <v>1</v>
      </c>
      <c r="AE37" s="239">
        <f t="shared" ca="1" si="12"/>
        <v>0</v>
      </c>
      <c r="AF37" s="240">
        <f t="shared" si="13"/>
        <v>1E-4</v>
      </c>
      <c r="AG37" s="240">
        <f t="shared" si="14"/>
        <v>5.0000000000000001E-4</v>
      </c>
      <c r="AH37" s="240">
        <f t="shared" ca="1" si="15"/>
        <v>5.9999999999999995E-4</v>
      </c>
      <c r="AI37" s="240">
        <f t="shared" ca="1" si="16"/>
        <v>1.1000000000000001E-3</v>
      </c>
      <c r="AJ37" s="171"/>
    </row>
    <row r="38" spans="1:36" x14ac:dyDescent="0.2">
      <c r="A38" s="225" t="str">
        <f t="shared" si="0"/>
        <v/>
      </c>
      <c r="B38" s="226" t="str">
        <f t="shared" si="1"/>
        <v/>
      </c>
      <c r="C38" s="227" t="str">
        <f t="shared" si="2"/>
        <v/>
      </c>
      <c r="D38" s="228" t="str">
        <f t="shared" si="3"/>
        <v/>
      </c>
      <c r="E38" s="229">
        <f t="shared" ca="1" si="4"/>
        <v>31</v>
      </c>
      <c r="F38" s="242" t="s">
        <v>9</v>
      </c>
      <c r="G38" s="230"/>
      <c r="H38" s="231"/>
      <c r="I38" s="232">
        <f t="array" aca="1" ref="I38" ca="1">(IF(COUNT(P38,R38,Y38,AA38)&lt;3,SUM(P38,R38,Y38,AA38),SUM(LARGE((P38,R38,Y38,AA38),{1;2;3}))))+(IF(COUNT(Q38,S38,T38,X38)&lt;3,SUM(Q38,S38,T38,X38),SUM(LARGE((Q38,S38,T38,X38),{1;2;3}))))+(IF(COUNT(U38,V38,W38,Z38,AB38)&lt;3,SUM(U38,V38,W38,Z38,AB38),SUM(LARGE((U38,V38,W38,Z38,AB38),{1;2;3}))))</f>
        <v>74</v>
      </c>
      <c r="J38" s="233" t="str">
        <f ca="1">INDEX(ETAPP!B$1:B$32,MATCH(COUNTIF(P38:AB38,PIV!A$1),ETAPP!A$1:A$32,0))&amp;INDEX(ETAPP!B$1:B$32,MATCH(COUNTIF(P38:AB38,PIV!A$2),ETAPP!A$1:A$32,0))&amp;INDEX(ETAPP!B$1:B$32,MATCH(COUNTIF(P38:AB38,PIV!A$3),ETAPP!A$1:A$32,0))&amp;INDEX(ETAPP!B$1:B$32,MATCH(COUNTIF(P38:AB38,PIV!A$4),ETAPP!A$1:A$32,0))&amp;INDEX(ETAPP!B$1:B$32,MATCH(COUNTIF(P38:AB38,PIV!A$5),ETAPP!A$1:A$32,0))&amp;INDEX(ETAPP!B$1:B$32,MATCH(COUNTIF(P38:AB38,PIV!A$6),ETAPP!A$1:A$32,0))&amp;INDEX(ETAPP!B$1:B$32,MATCH(COUNTIF(P38:AB38,PIV!A$7),ETAPP!A$1:A$32,0))&amp;INDEX(ETAPP!B$1:B$32,MATCH(COUNTIF(P38:AB38,PIV!A$8),ETAPP!A$1:A$32,0))&amp;INDEX(ETAPP!B$1:B$32,MATCH(COUNTIF(P38:AB38,PIV!A$9),ETAPP!A$1:A$32,0))&amp;INDEX(ETAPP!B$1:B$32,MATCH(COUNTIF(P38:AB38,PIV!A$10),ETAPP!A$1:A$32,0))&amp;INDEX(ETAPP!B$1:B$32,MATCH(COUNTIF(P38:AB38,PIV!A$11),ETAPP!A$1:A$32,0))&amp;INDEX(ETAPP!B$1:B$32,MATCH(COUNTIF(P38:AB38,PIV!A$12),ETAPP!A$1:A$32,0))&amp;INDEX(ETAPP!B$1:B$32,MATCH(COUNTIF(P38:AB38,PIV!A$13),ETAPP!A$1:A$32,0))&amp;INDEX(ETAPP!B$1:B$32,MATCH(COUNTIF(P38:AB38,PIV!A$14),ETAPP!A$1:A$32,0))&amp;INDEX(ETAPP!B$1:B$32,MATCH(COUNTIF(P38:AB38,PIV!A$15),ETAPP!A$1:A$32,0))&amp;INDEX(ETAPP!B$1:B$32,MATCH(COUNTIF(P38:AB38,PIV!A$16),ETAPP!A$1:A$32,0))&amp;INDEX(ETAPP!B$1:B$32,MATCH(COUNTIF(P38:AB38,PIV!A$17),ETAPP!A$1:A$32,0))&amp;INDEX(ETAPP!B$1:B$32,MATCH(COUNTIF(P38:AB38,PIV!A$18),ETAPP!A$1:A$32,0))&amp;INDEX(ETAPP!B$1:B$32,MATCH(COUNTIF(P38:AB38,PIV!A$19),ETAPP!A$1:A$32,0))</f>
        <v>0000B0000AA0000000D</v>
      </c>
      <c r="K38" s="233" t="str">
        <f t="shared" ca="1" si="5"/>
        <v>074,0-0000B0000AA0000000D</v>
      </c>
      <c r="L38" s="234">
        <f t="shared" ca="1" si="6"/>
        <v>31</v>
      </c>
      <c r="M38" s="234">
        <f t="shared" si="7"/>
        <v>35</v>
      </c>
      <c r="N38" s="233" t="str">
        <f t="shared" ca="1" si="8"/>
        <v>074,0-0000B0000AA0000000D-035</v>
      </c>
      <c r="O38" s="235">
        <f t="shared" ca="1" si="9"/>
        <v>25</v>
      </c>
      <c r="P38" s="236" t="str">
        <f>IFERROR(INDEX('1'!C$300:C$400,MATCH("*"&amp;F38&amp;"*",'1'!B$300:B$400,0)),"  ")</f>
        <v xml:space="preserve">  </v>
      </c>
      <c r="Q38" s="237">
        <f>IFERROR(INDEX('2'!C$300:C$400,MATCH("*"&amp;F38&amp;"*",'2'!B$300:B$400,0)),"  ")</f>
        <v>24</v>
      </c>
      <c r="R38" s="237">
        <f>IFERROR(INDEX('3'!C$300:C$400,MATCH("*"&amp;F38&amp;"*",'3'!B$300:B$400,0)),"  ")</f>
        <v>12</v>
      </c>
      <c r="S38" s="237" t="str">
        <f>IFERROR(INDEX('4'!C$300:C$400,MATCH("*"&amp;F38&amp;"*",'4'!B$300:B$400,0)),"  ")</f>
        <v xml:space="preserve">  </v>
      </c>
      <c r="T38" s="237">
        <f>IFERROR(INDEX('5'!C$300:C$400,MATCH("*"&amp;F38&amp;"*",'5'!B$300:B$400,0)),"  ")</f>
        <v>14</v>
      </c>
      <c r="U38" s="237" t="str">
        <f>IFERROR(INDEX('6'!C$300:C$400,MATCH("*"&amp;F38&amp;"*",'6'!B$300:B$400,0)),"  ")</f>
        <v xml:space="preserve">  </v>
      </c>
      <c r="V38" s="237" t="str">
        <f>IFERROR(INDEX('7'!C$300:C$400,MATCH("*"&amp;F38&amp;"*",'7'!B$300:B$400,0)),"  ")</f>
        <v xml:space="preserve">  </v>
      </c>
      <c r="W38" s="237" t="str">
        <f ca="1">IFERROR(INDEX('8'!C$300:C$400,MATCH("*"&amp;F38&amp;"*",'8'!B$300:B$400,0)),"  ")</f>
        <v xml:space="preserve">  </v>
      </c>
      <c r="X38" s="237" t="str">
        <f>IFERROR(INDEX('9'!C$300:C$400,MATCH("*"&amp;F38&amp;"*",'9'!B$300:B$400,0)),"  ")</f>
        <v xml:space="preserve">  </v>
      </c>
      <c r="Y38" s="237" t="str">
        <f>IFERROR(INDEX('10'!C$300:C$400,MATCH("*"&amp;F38&amp;"*",'10'!B$300:B$400,0)),"  ")</f>
        <v xml:space="preserve">  </v>
      </c>
      <c r="Z38" s="236" t="str">
        <f>IFERROR(INDEX('11'!C$300:C$400,MATCH("*"&amp;F38&amp;"*",'11'!B$300:B$400,0)),"  ")</f>
        <v xml:space="preserve">  </v>
      </c>
      <c r="AA38" s="237">
        <f>IFERROR(INDEX('12'!C$300:C$400,MATCH("*"&amp;F38&amp;"*",'12'!B$300:B$400,0)),"  ")</f>
        <v>24</v>
      </c>
      <c r="AB38" s="237" t="str">
        <f>IFERROR(INDEX('13'!C$300:C$400,MATCH("*"&amp;F38&amp;"*",'13'!B$300:B$400,0)),"  ")</f>
        <v xml:space="preserve">  </v>
      </c>
      <c r="AC38" s="239">
        <f t="shared" ca="1" si="10"/>
        <v>4</v>
      </c>
      <c r="AD38" s="239">
        <f t="shared" ca="1" si="11"/>
        <v>0</v>
      </c>
      <c r="AE38" s="239">
        <f t="shared" ca="1" si="12"/>
        <v>0</v>
      </c>
      <c r="AF38" s="240">
        <f t="shared" si="13"/>
        <v>1E-4</v>
      </c>
      <c r="AG38" s="240">
        <f t="shared" si="14"/>
        <v>4.0000000000000002E-4</v>
      </c>
      <c r="AH38" s="240">
        <f t="shared" ca="1" si="15"/>
        <v>5.9999999999999995E-4</v>
      </c>
      <c r="AI38" s="240" t="e">
        <f t="shared" ca="1" si="16"/>
        <v>#VALUE!</v>
      </c>
      <c r="AJ38" s="171"/>
    </row>
    <row r="39" spans="1:36" x14ac:dyDescent="0.2">
      <c r="A39" s="225" t="str">
        <f t="shared" si="0"/>
        <v/>
      </c>
      <c r="B39" s="226" t="str">
        <f t="shared" si="1"/>
        <v/>
      </c>
      <c r="C39" s="227" t="str">
        <f t="shared" si="2"/>
        <v/>
      </c>
      <c r="D39" s="228" t="str">
        <f t="shared" si="3"/>
        <v/>
      </c>
      <c r="E39" s="229">
        <f t="shared" ca="1" si="4"/>
        <v>32</v>
      </c>
      <c r="F39" s="191" t="s">
        <v>129</v>
      </c>
      <c r="G39" s="230"/>
      <c r="H39" s="231"/>
      <c r="I39" s="232">
        <f t="array" aca="1" ref="I39" ca="1">(IF(COUNT(P39,R39,Y39,AA39)&lt;3,SUM(P39,R39,Y39,AA39),SUM(LARGE((P39,R39,Y39,AA39),{1;2;3}))))+(IF(COUNT(Q39,S39,T39,X39)&lt;3,SUM(Q39,S39,T39,X39),SUM(LARGE((Q39,S39,T39,X39),{1;2;3}))))+(IF(COUNT(U39,V39,W39,Z39,AB39)&lt;3,SUM(U39,V39,W39,Z39,AB39),SUM(LARGE((U39,V39,W39,Z39,AB39),{1;2;3}))))</f>
        <v>68</v>
      </c>
      <c r="J39" s="233" t="str">
        <f ca="1">INDEX(ETAPP!B$1:B$32,MATCH(COUNTIF(P39:AB39,PIV!A$1),ETAPP!A$1:A$32,0))&amp;INDEX(ETAPP!B$1:B$32,MATCH(COUNTIF(P39:AB39,PIV!A$2),ETAPP!A$1:A$32,0))&amp;INDEX(ETAPP!B$1:B$32,MATCH(COUNTIF(P39:AB39,PIV!A$3),ETAPP!A$1:A$32,0))&amp;INDEX(ETAPP!B$1:B$32,MATCH(COUNTIF(P39:AB39,PIV!A$4),ETAPP!A$1:A$32,0))&amp;INDEX(ETAPP!B$1:B$32,MATCH(COUNTIF(P39:AB39,PIV!A$5),ETAPP!A$1:A$32,0))&amp;INDEX(ETAPP!B$1:B$32,MATCH(COUNTIF(P39:AB39,PIV!A$6),ETAPP!A$1:A$32,0))&amp;INDEX(ETAPP!B$1:B$32,MATCH(COUNTIF(P39:AB39,PIV!A$7),ETAPP!A$1:A$32,0))&amp;INDEX(ETAPP!B$1:B$32,MATCH(COUNTIF(P39:AB39,PIV!A$8),ETAPP!A$1:A$32,0))&amp;INDEX(ETAPP!B$1:B$32,MATCH(COUNTIF(P39:AB39,PIV!A$9),ETAPP!A$1:A$32,0))&amp;INDEX(ETAPP!B$1:B$32,MATCH(COUNTIF(P39:AB39,PIV!A$10),ETAPP!A$1:A$32,0))&amp;INDEX(ETAPP!B$1:B$32,MATCH(COUNTIF(P39:AB39,PIV!A$11),ETAPP!A$1:A$32,0))&amp;INDEX(ETAPP!B$1:B$32,MATCH(COUNTIF(P39:AB39,PIV!A$12),ETAPP!A$1:A$32,0))&amp;INDEX(ETAPP!B$1:B$32,MATCH(COUNTIF(P39:AB39,PIV!A$13),ETAPP!A$1:A$32,0))&amp;INDEX(ETAPP!B$1:B$32,MATCH(COUNTIF(P39:AB39,PIV!A$14),ETAPP!A$1:A$32,0))&amp;INDEX(ETAPP!B$1:B$32,MATCH(COUNTIF(P39:AB39,PIV!A$15),ETAPP!A$1:A$32,0))&amp;INDEX(ETAPP!B$1:B$32,MATCH(COUNTIF(P39:AB39,PIV!A$16),ETAPP!A$1:A$32,0))&amp;INDEX(ETAPP!B$1:B$32,MATCH(COUNTIF(P39:AB39,PIV!A$17),ETAPP!A$1:A$32,0))&amp;INDEX(ETAPP!B$1:B$32,MATCH(COUNTIF(P39:AB39,PIV!A$18),ETAPP!A$1:A$32,0))&amp;INDEX(ETAPP!B$1:B$32,MATCH(COUNTIF(P39:AB39,PIV!A$19),ETAPP!A$1:A$32,0))</f>
        <v>00000000ABA0A0A000G</v>
      </c>
      <c r="K39" s="233" t="str">
        <f t="shared" ca="1" si="5"/>
        <v>068,0-00000000ABA0A0A000G</v>
      </c>
      <c r="L39" s="234">
        <f t="shared" ca="1" si="6"/>
        <v>32</v>
      </c>
      <c r="M39" s="234">
        <f t="shared" si="7"/>
        <v>45</v>
      </c>
      <c r="N39" s="233" t="str">
        <f t="shared" ca="1" si="8"/>
        <v>068,0-00000000ABA0A0A000G-045</v>
      </c>
      <c r="O39" s="235">
        <f t="shared" ca="1" si="9"/>
        <v>24</v>
      </c>
      <c r="P39" s="236" t="str">
        <f>IFERROR(INDEX('1'!C$300:C$400,MATCH("*"&amp;F39&amp;"*",'1'!B$300:B$400,0)),"  ")</f>
        <v xml:space="preserve">  </v>
      </c>
      <c r="Q39" s="237">
        <f>IFERROR(INDEX('2'!C$300:C$400,MATCH("*"&amp;F39&amp;"*",'2'!B$300:B$400,0)),"  ")</f>
        <v>12</v>
      </c>
      <c r="R39" s="237">
        <f>IFERROR(INDEX('3'!C$300:C$400,MATCH("*"&amp;F39&amp;"*",'3'!B$300:B$400,0)),"  ")</f>
        <v>14</v>
      </c>
      <c r="S39" s="237">
        <f>IFERROR(INDEX('4'!C$300:C$400,MATCH("*"&amp;F39&amp;"*",'4'!B$300:B$400,0)),"  ")</f>
        <v>14</v>
      </c>
      <c r="T39" s="237" t="str">
        <f>IFERROR(INDEX('5'!C$300:C$400,MATCH("*"&amp;F39&amp;"*",'5'!B$300:B$400,0)),"  ")</f>
        <v xml:space="preserve">  </v>
      </c>
      <c r="U39" s="237" t="str">
        <f>IFERROR(INDEX('6'!C$300:C$400,MATCH("*"&amp;F39&amp;"*",'6'!B$300:B$400,0)),"  ")</f>
        <v xml:space="preserve">  </v>
      </c>
      <c r="V39" s="237">
        <f>IFERROR(INDEX('7'!C$300:C$400,MATCH("*"&amp;F39&amp;"*",'7'!B$300:B$400,0)),"  ")</f>
        <v>8</v>
      </c>
      <c r="W39" s="237" t="str">
        <f ca="1">IFERROR(INDEX('8'!C$300:C$400,MATCH("*"&amp;F39&amp;"*",'8'!B$300:B$400,0)),"  ")</f>
        <v xml:space="preserve">  </v>
      </c>
      <c r="X39" s="237" t="str">
        <f>IFERROR(INDEX('9'!C$300:C$400,MATCH("*"&amp;F39&amp;"*",'9'!B$300:B$400,0)),"  ")</f>
        <v xml:space="preserve">  </v>
      </c>
      <c r="Y39" s="237" t="str">
        <f>IFERROR(INDEX('10'!C$300:C$400,MATCH("*"&amp;F39&amp;"*",'10'!B$300:B$400,0)),"  ")</f>
        <v xml:space="preserve">  </v>
      </c>
      <c r="Z39" s="236" t="str">
        <f>IFERROR(INDEX('11'!C$300:C$400,MATCH("*"&amp;F39&amp;"*",'11'!B$300:B$400,0)),"  ")</f>
        <v xml:space="preserve">  </v>
      </c>
      <c r="AA39" s="237">
        <f>IFERROR(INDEX('12'!C$300:C$400,MATCH("*"&amp;F39&amp;"*",'12'!B$300:B$400,0)),"  ")</f>
        <v>16</v>
      </c>
      <c r="AB39" s="237">
        <f>IFERROR(INDEX('13'!C$300:C$400,MATCH("*"&amp;F39&amp;"*",'13'!B$300:B$400,0)),"  ")</f>
        <v>4</v>
      </c>
      <c r="AC39" s="239">
        <f t="shared" ca="1" si="10"/>
        <v>6</v>
      </c>
      <c r="AD39" s="239">
        <f t="shared" ca="1" si="11"/>
        <v>0</v>
      </c>
      <c r="AE39" s="239">
        <f t="shared" ca="1" si="12"/>
        <v>0</v>
      </c>
      <c r="AF39" s="240">
        <f t="shared" si="13"/>
        <v>1E-4</v>
      </c>
      <c r="AG39" s="240">
        <f t="shared" si="14"/>
        <v>5.0000000000000001E-4</v>
      </c>
      <c r="AH39" s="240">
        <f t="shared" ca="1" si="15"/>
        <v>5.9999999999999995E-4</v>
      </c>
      <c r="AI39" s="240">
        <f t="shared" ca="1" si="16"/>
        <v>8.0000000000000004E-4</v>
      </c>
      <c r="AJ39" s="251"/>
    </row>
    <row r="40" spans="1:36" x14ac:dyDescent="0.2">
      <c r="A40" s="225">
        <f t="shared" ref="A40:A71" ca="1" si="17">IFERROR(RANK(B40,B$8:B$62,1),"")</f>
        <v>5</v>
      </c>
      <c r="B40" s="226">
        <f t="shared" ref="B40:B62" ca="1" si="18">IF(G40="n",L40,"")</f>
        <v>33</v>
      </c>
      <c r="C40" s="227" t="str">
        <f t="shared" ref="C40:C71" si="19">IFERROR(RANK(D40,D$8:D$62,1),"")</f>
        <v/>
      </c>
      <c r="D40" s="228" t="str">
        <f t="shared" ref="D40:D62" si="20">IF(H40="j",L40,"")</f>
        <v/>
      </c>
      <c r="E40" s="229">
        <f t="shared" ref="E40:E62" ca="1" si="21">RANK(L40,L$8:L$62,1)</f>
        <v>33</v>
      </c>
      <c r="F40" s="242" t="s">
        <v>148</v>
      </c>
      <c r="G40" s="230" t="s">
        <v>119</v>
      </c>
      <c r="H40" s="231"/>
      <c r="I40" s="232">
        <f t="array" aca="1" ref="I40" ca="1">(IF(COUNT(P40,R40,Y40,AA40)&lt;3,SUM(P40,R40,Y40,AA40),SUM(LARGE((P40,R40,Y40,AA40),{1;2;3}))))+(IF(COUNT(Q40,S40,T40,X40)&lt;3,SUM(Q40,S40,T40,X40),SUM(LARGE((Q40,S40,T40,X40),{1;2;3}))))+(IF(COUNT(U40,V40,W40,Z40,AB40)&lt;3,SUM(U40,V40,W40,Z40,AB40),SUM(LARGE((U40,V40,W40,Z40,AB40),{1;2;3}))))</f>
        <v>44</v>
      </c>
      <c r="J40" s="233" t="str">
        <f ca="1">INDEX(ETAPP!B$1:B$32,MATCH(COUNTIF(P40:AB40,PIV!A$1),ETAPP!A$1:A$32,0))&amp;INDEX(ETAPP!B$1:B$32,MATCH(COUNTIF(P40:AB40,PIV!A$2),ETAPP!A$1:A$32,0))&amp;INDEX(ETAPP!B$1:B$32,MATCH(COUNTIF(P40:AB40,PIV!A$3),ETAPP!A$1:A$32,0))&amp;INDEX(ETAPP!B$1:B$32,MATCH(COUNTIF(P40:AB40,PIV!A$4),ETAPP!A$1:A$32,0))&amp;INDEX(ETAPP!B$1:B$32,MATCH(COUNTIF(P40:AB40,PIV!A$5),ETAPP!A$1:A$32,0))&amp;INDEX(ETAPP!B$1:B$32,MATCH(COUNTIF(P40:AB40,PIV!A$6),ETAPP!A$1:A$32,0))&amp;INDEX(ETAPP!B$1:B$32,MATCH(COUNTIF(P40:AB40,PIV!A$7),ETAPP!A$1:A$32,0))&amp;INDEX(ETAPP!B$1:B$32,MATCH(COUNTIF(P40:AB40,PIV!A$8),ETAPP!A$1:A$32,0))&amp;INDEX(ETAPP!B$1:B$32,MATCH(COUNTIF(P40:AB40,PIV!A$9),ETAPP!A$1:A$32,0))&amp;INDEX(ETAPP!B$1:B$32,MATCH(COUNTIF(P40:AB40,PIV!A$10),ETAPP!A$1:A$32,0))&amp;INDEX(ETAPP!B$1:B$32,MATCH(COUNTIF(P40:AB40,PIV!A$11),ETAPP!A$1:A$32,0))&amp;INDEX(ETAPP!B$1:B$32,MATCH(COUNTIF(P40:AB40,PIV!A$12),ETAPP!A$1:A$32,0))&amp;INDEX(ETAPP!B$1:B$32,MATCH(COUNTIF(P40:AB40,PIV!A$13),ETAPP!A$1:A$32,0))&amp;INDEX(ETAPP!B$1:B$32,MATCH(COUNTIF(P40:AB40,PIV!A$14),ETAPP!A$1:A$32,0))&amp;INDEX(ETAPP!B$1:B$32,MATCH(COUNTIF(P40:AB40,PIV!A$15),ETAPP!A$1:A$32,0))&amp;INDEX(ETAPP!B$1:B$32,MATCH(COUNTIF(P40:AB40,PIV!A$16),ETAPP!A$1:A$32,0))&amp;INDEX(ETAPP!B$1:B$32,MATCH(COUNTIF(P40:AB40,PIV!A$17),ETAPP!A$1:A$32,0))&amp;INDEX(ETAPP!B$1:B$32,MATCH(COUNTIF(P40:AB40,PIV!A$18),ETAPP!A$1:A$32,0))&amp;INDEX(ETAPP!B$1:B$32,MATCH(COUNTIF(P40:AB40,PIV!A$19),ETAPP!A$1:A$32,0))</f>
        <v>000000B0000000A000E</v>
      </c>
      <c r="K40" s="233" t="str">
        <f t="shared" ref="K40:K62" ca="1" si="22">TEXT(I40,"000,0")&amp;"-"&amp;J40</f>
        <v>044,0-000000B0000000A000E</v>
      </c>
      <c r="L40" s="234">
        <f t="shared" ref="L40:L71" ca="1" si="23">COUNTIF(K$8:K$62,"&gt;="&amp;K40)</f>
        <v>33</v>
      </c>
      <c r="M40" s="234">
        <f t="shared" ref="M40:M62" si="24">COUNTIF(F$8:F$62,"&gt;="&amp;F40)</f>
        <v>13</v>
      </c>
      <c r="N40" s="233" t="str">
        <f t="shared" ref="N40:N62" ca="1" si="25">TEXT(I40,"000,0")&amp;"-"&amp;J40&amp;"-"&amp;TEXT(M40,"000")</f>
        <v>044,0-000000B0000000A000E-013</v>
      </c>
      <c r="O40" s="235">
        <f t="shared" ref="O40:O71" ca="1" si="26">COUNTIF(N$8:N$62,"&lt;="&amp;N40)</f>
        <v>23</v>
      </c>
      <c r="P40" s="236">
        <f>IFERROR(INDEX('1'!C$300:C$400,MATCH("*"&amp;F40&amp;"*",'1'!B$300:B$400,0)),"  ")</f>
        <v>20</v>
      </c>
      <c r="Q40" s="237" t="str">
        <f>IFERROR(INDEX('2'!C$300:C$400,MATCH("*"&amp;F40&amp;"*",'2'!B$300:B$400,0)),"  ")</f>
        <v xml:space="preserve">  </v>
      </c>
      <c r="R40" s="237" t="str">
        <f>IFERROR(INDEX('3'!C$300:C$400,MATCH("*"&amp;F40&amp;"*",'3'!B$300:B$400,0)),"  ")</f>
        <v xml:space="preserve">  </v>
      </c>
      <c r="S40" s="237">
        <f>IFERROR(INDEX('4'!C$300:C$400,MATCH("*"&amp;F40&amp;"*",'4'!B$300:B$400,0)),"  ")</f>
        <v>4</v>
      </c>
      <c r="T40" s="237" t="str">
        <f>IFERROR(INDEX('5'!C$300:C$400,MATCH("*"&amp;F40&amp;"*",'5'!B$300:B$400,0)),"  ")</f>
        <v xml:space="preserve">  </v>
      </c>
      <c r="U40" s="237" t="str">
        <f>IFERROR(INDEX('6'!C$300:C$400,MATCH("*"&amp;F40&amp;"*",'6'!B$300:B$400,0)),"  ")</f>
        <v xml:space="preserve">  </v>
      </c>
      <c r="V40" s="237" t="str">
        <f>IFERROR(INDEX('7'!C$300:C$400,MATCH("*"&amp;F40&amp;"*",'7'!B$300:B$400,0)),"  ")</f>
        <v xml:space="preserve">  </v>
      </c>
      <c r="W40" s="237" t="str">
        <f ca="1">IFERROR(INDEX('8'!C$300:C$400,MATCH("*"&amp;F40&amp;"*",'8'!B$300:B$400,0)),"  ")</f>
        <v xml:space="preserve">  </v>
      </c>
      <c r="X40" s="237" t="str">
        <f>IFERROR(INDEX('9'!C$300:C$400,MATCH("*"&amp;F40&amp;"*",'9'!B$300:B$400,0)),"  ")</f>
        <v xml:space="preserve">  </v>
      </c>
      <c r="Y40" s="237" t="str">
        <f>IFERROR(INDEX('10'!C$300:C$400,MATCH("*"&amp;F40&amp;"*",'10'!B$300:B$400,0)),"  ")</f>
        <v xml:space="preserve">  </v>
      </c>
      <c r="Z40" s="236">
        <f>IFERROR(INDEX('11'!C$300:C$400,MATCH("*"&amp;F40&amp;"*",'11'!B$300:B$400,0)),"  ")</f>
        <v>20</v>
      </c>
      <c r="AA40" s="237" t="str">
        <f>IFERROR(INDEX('12'!C$300:C$400,MATCH("*"&amp;F40&amp;"*",'12'!B$300:B$400,0)),"  ")</f>
        <v xml:space="preserve">  </v>
      </c>
      <c r="AB40" s="237" t="str">
        <f>IFERROR(INDEX('13'!C$300:C$400,MATCH("*"&amp;F40&amp;"*",'13'!B$300:B$400,0)),"  ")</f>
        <v xml:space="preserve">  </v>
      </c>
      <c r="AC40" s="238">
        <f t="shared" ref="AC40:AC62" ca="1" si="27">COUNTIF(P40:AB40,"&gt;=0")</f>
        <v>3</v>
      </c>
      <c r="AD40" s="239">
        <f t="shared" ref="AD40:AD62" ca="1" si="28">COUNTIF(P40:AB40,"&gt;=30")</f>
        <v>0</v>
      </c>
      <c r="AE40" s="239">
        <f t="shared" ref="AE40:AE62" ca="1" si="29">COUNTIF(P40:AB40,"=40")</f>
        <v>0</v>
      </c>
      <c r="AF40" s="240">
        <f t="shared" ref="AF40:AF62" si="30">MIN(IF($P40="  ",FALSE,$P40)+$P$7/10000,IF($R40="  ",FALSE,$R40)+$R$7/10000,IF($Y40="  ",FALSE,$Y40)+$Y$7/10000,IF($AA40="  ",FALSE,$AA40)+$AA$7/10000)</f>
        <v>2.9999999999999997E-4</v>
      </c>
      <c r="AG40" s="240">
        <f t="shared" ref="AG40:AG62" si="31">MIN(IF($Q40="  ",FALSE,$Q40)+$Q$7/10000,IF($S40="  ",FALSE,$S40)+$S$7/10000,IF($T40="  ",FALSE,$T40)+$T$7/10000,IF($X40="  ",FALSE,$X40)+$X$7/10000)</f>
        <v>2.0000000000000001E-4</v>
      </c>
      <c r="AH40" s="240">
        <f t="shared" ref="AH40:AH62" ca="1" si="32">MIN(IF($U40="  ",FALSE,$U40)+$U$7/10000,IF($V40="  ",FALSE,$V40)+$V$7/10000,IF($W40="  ",FALSE,$W40)+$W$7/10000,IF($Z40="  ",FALSE,$Z40)+$Z$7/10000,IF($AB40="  ",FALSE,$AB40)+$AB$7/10000)</f>
        <v>5.9999999999999995E-4</v>
      </c>
      <c r="AI40" s="240" t="e">
        <f t="shared" ref="AI40:AI62" ca="1" si="33">MIN(IF((IF($U40="  ",FALSE,$U40)+$U$7/10000)=AH40,333,IF($U40="  ",FALSE,$U40)+$U$7/10000),IF((IF($V40="  ",FALSE,$V40)+$V$7/10000)=AH40,333,IF($V40=" ",FALSE,$V40)+$V$7/10000),IF((IF($W40="  ",FALSE,$W40)+$W$7/10000)=AH40,333,IF($W40="  ",FALSE,$W40)+$W$7/10000),IF((IF($Z40="  ",FALSE,$Z40)+$Z$7/10000)=AH40,333,IF($Z40="  ",FALSE,$Z40)+$Z$7/10000),IF((IF($AB40="  ",FALSE,$AB40)+$AB$7/10000)=AH40,333,IF($AB40="  ",FALSE,$AB40)+$AB$7/10000))</f>
        <v>#VALUE!</v>
      </c>
      <c r="AJ40" s="171"/>
    </row>
    <row r="41" spans="1:36" x14ac:dyDescent="0.2">
      <c r="A41" s="225" t="str">
        <f t="shared" si="17"/>
        <v/>
      </c>
      <c r="B41" s="226" t="str">
        <f t="shared" si="18"/>
        <v/>
      </c>
      <c r="C41" s="227" t="str">
        <f t="shared" si="19"/>
        <v/>
      </c>
      <c r="D41" s="228" t="str">
        <f t="shared" si="20"/>
        <v/>
      </c>
      <c r="E41" s="229">
        <f t="shared" ca="1" si="21"/>
        <v>34</v>
      </c>
      <c r="F41" s="191" t="s">
        <v>142</v>
      </c>
      <c r="G41" s="230"/>
      <c r="H41" s="231"/>
      <c r="I41" s="232">
        <f t="array" aca="1" ref="I41" ca="1">(IF(COUNT(P41,R41,Y41,AA41)&lt;3,SUM(P41,R41,Y41,AA41),SUM(LARGE((P41,R41,Y41,AA41),{1;2;3}))))+(IF(COUNT(Q41,S41,T41,X41)&lt;3,SUM(Q41,S41,T41,X41),SUM(LARGE((Q41,S41,T41,X41),{1;2;3}))))+(IF(COUNT(U41,V41,W41,Z41,AB41)&lt;3,SUM(U41,V41,W41,Z41,AB41),SUM(LARGE((U41,V41,W41,Z41,AB41),{1;2;3}))))</f>
        <v>44</v>
      </c>
      <c r="J41" s="233" t="str">
        <f ca="1">INDEX(ETAPP!B$1:B$32,MATCH(COUNTIF(P41:AB41,PIV!A$1),ETAPP!A$1:A$32,0))&amp;INDEX(ETAPP!B$1:B$32,MATCH(COUNTIF(P41:AB41,PIV!A$2),ETAPP!A$1:A$32,0))&amp;INDEX(ETAPP!B$1:B$32,MATCH(COUNTIF(P41:AB41,PIV!A$3),ETAPP!A$1:A$32,0))&amp;INDEX(ETAPP!B$1:B$32,MATCH(COUNTIF(P41:AB41,PIV!A$4),ETAPP!A$1:A$32,0))&amp;INDEX(ETAPP!B$1:B$32,MATCH(COUNTIF(P41:AB41,PIV!A$5),ETAPP!A$1:A$32,0))&amp;INDEX(ETAPP!B$1:B$32,MATCH(COUNTIF(P41:AB41,PIV!A$6),ETAPP!A$1:A$32,0))&amp;INDEX(ETAPP!B$1:B$32,MATCH(COUNTIF(P41:AB41,PIV!A$7),ETAPP!A$1:A$32,0))&amp;INDEX(ETAPP!B$1:B$32,MATCH(COUNTIF(P41:AB41,PIV!A$8),ETAPP!A$1:A$32,0))&amp;INDEX(ETAPP!B$1:B$32,MATCH(COUNTIF(P41:AB41,PIV!A$9),ETAPP!A$1:A$32,0))&amp;INDEX(ETAPP!B$1:B$32,MATCH(COUNTIF(P41:AB41,PIV!A$10),ETAPP!A$1:A$32,0))&amp;INDEX(ETAPP!B$1:B$32,MATCH(COUNTIF(P41:AB41,PIV!A$11),ETAPP!A$1:A$32,0))&amp;INDEX(ETAPP!B$1:B$32,MATCH(COUNTIF(P41:AB41,PIV!A$12),ETAPP!A$1:A$32,0))&amp;INDEX(ETAPP!B$1:B$32,MATCH(COUNTIF(P41:AB41,PIV!A$13),ETAPP!A$1:A$32,0))&amp;INDEX(ETAPP!B$1:B$32,MATCH(COUNTIF(P41:AB41,PIV!A$14),ETAPP!A$1:A$32,0))&amp;INDEX(ETAPP!B$1:B$32,MATCH(COUNTIF(P41:AB41,PIV!A$15),ETAPP!A$1:A$32,0))&amp;INDEX(ETAPP!B$1:B$32,MATCH(COUNTIF(P41:AB41,PIV!A$16),ETAPP!A$1:A$32,0))&amp;INDEX(ETAPP!B$1:B$32,MATCH(COUNTIF(P41:AB41,PIV!A$17),ETAPP!A$1:A$32,0))&amp;INDEX(ETAPP!B$1:B$32,MATCH(COUNTIF(P41:AB41,PIV!A$18),ETAPP!A$1:A$32,0))&amp;INDEX(ETAPP!B$1:B$32,MATCH(COUNTIF(P41:AB41,PIV!A$19),ETAPP!A$1:A$32,0))</f>
        <v>0000000A000AAA00B0G</v>
      </c>
      <c r="K41" s="233" t="str">
        <f t="shared" ca="1" si="22"/>
        <v>044,0-0000000A000AAA00B0G</v>
      </c>
      <c r="L41" s="234">
        <f t="shared" ca="1" si="23"/>
        <v>34</v>
      </c>
      <c r="M41" s="234">
        <f t="shared" si="24"/>
        <v>41</v>
      </c>
      <c r="N41" s="233" t="str">
        <f t="shared" ca="1" si="25"/>
        <v>044,0-0000000A000AAA00B0G-041</v>
      </c>
      <c r="O41" s="235">
        <f t="shared" ca="1" si="26"/>
        <v>22</v>
      </c>
      <c r="P41" s="236" t="str">
        <f>IFERROR(INDEX('1'!C$300:C$400,MATCH("*"&amp;F41&amp;"*",'1'!B$300:B$400,0)),"  ")</f>
        <v xml:space="preserve">  </v>
      </c>
      <c r="Q41" s="237">
        <f>IFERROR(INDEX('2'!C$300:C$400,MATCH("*"&amp;F41&amp;"*",'2'!B$300:B$400,0)),"  ")</f>
        <v>8</v>
      </c>
      <c r="R41" s="237">
        <f>IFERROR(INDEX('3'!C$300:C$400,MATCH("*"&amp;F41&amp;"*",'3'!B$300:B$400,0)),"  ")</f>
        <v>10</v>
      </c>
      <c r="S41" s="237">
        <f>IFERROR(INDEX('4'!C$300:C$400,MATCH("*"&amp;F41&amp;"*",'4'!B$300:B$400,0)),"  ")</f>
        <v>6</v>
      </c>
      <c r="T41" s="237" t="str">
        <f>IFERROR(INDEX('5'!C$300:C$400,MATCH("*"&amp;F41&amp;"*",'5'!B$300:B$400,0)),"  ")</f>
        <v xml:space="preserve">  </v>
      </c>
      <c r="U41" s="237" t="str">
        <f>IFERROR(INDEX('6'!C$300:C$400,MATCH("*"&amp;F41&amp;"*",'6'!B$300:B$400,0)),"  ")</f>
        <v xml:space="preserve">  </v>
      </c>
      <c r="V41" s="237">
        <f>IFERROR(INDEX('7'!C$300:C$400,MATCH("*"&amp;F41&amp;"*",'7'!B$300:B$400,0)),"  ")</f>
        <v>1</v>
      </c>
      <c r="W41" s="237" t="str">
        <f ca="1">IFERROR(INDEX('8'!C$300:C$400,MATCH("*"&amp;F41&amp;"*",'8'!B$300:B$400,0)),"  ")</f>
        <v xml:space="preserve">  </v>
      </c>
      <c r="X41" s="237" t="str">
        <f>IFERROR(INDEX('9'!C$300:C$400,MATCH("*"&amp;F41&amp;"*",'9'!B$300:B$400,0)),"  ")</f>
        <v xml:space="preserve">  </v>
      </c>
      <c r="Y41" s="237" t="str">
        <f>IFERROR(INDEX('10'!C$300:C$400,MATCH("*"&amp;F41&amp;"*",'10'!B$300:B$400,0)),"  ")</f>
        <v xml:space="preserve">  </v>
      </c>
      <c r="Z41" s="236" t="str">
        <f>IFERROR(INDEX('11'!C$300:C$400,MATCH("*"&amp;F41&amp;"*",'11'!B$300:B$400,0)),"  ")</f>
        <v xml:space="preserve">  </v>
      </c>
      <c r="AA41" s="237">
        <f>IFERROR(INDEX('12'!C$300:C$400,MATCH("*"&amp;F41&amp;"*",'12'!B$300:B$400,0)),"  ")</f>
        <v>18</v>
      </c>
      <c r="AB41" s="237">
        <f>IFERROR(INDEX('13'!C$300:C$400,MATCH("*"&amp;F41&amp;"*",'13'!B$300:B$400,0)),"  ")</f>
        <v>1</v>
      </c>
      <c r="AC41" s="239">
        <f t="shared" ca="1" si="27"/>
        <v>6</v>
      </c>
      <c r="AD41" s="239">
        <f t="shared" ca="1" si="28"/>
        <v>0</v>
      </c>
      <c r="AE41" s="239">
        <f t="shared" ca="1" si="29"/>
        <v>0</v>
      </c>
      <c r="AF41" s="240">
        <f t="shared" si="30"/>
        <v>1E-4</v>
      </c>
      <c r="AG41" s="240">
        <f t="shared" si="31"/>
        <v>5.0000000000000001E-4</v>
      </c>
      <c r="AH41" s="240">
        <f t="shared" ca="1" si="32"/>
        <v>5.9999999999999995E-4</v>
      </c>
      <c r="AI41" s="240">
        <f t="shared" ca="1" si="33"/>
        <v>8.0000000000000004E-4</v>
      </c>
      <c r="AJ41" s="171"/>
    </row>
    <row r="42" spans="1:36" x14ac:dyDescent="0.2">
      <c r="A42" s="225" t="str">
        <f t="shared" si="17"/>
        <v/>
      </c>
      <c r="B42" s="226" t="str">
        <f t="shared" si="18"/>
        <v/>
      </c>
      <c r="C42" s="227" t="str">
        <f t="shared" si="19"/>
        <v/>
      </c>
      <c r="D42" s="228" t="str">
        <f t="shared" si="20"/>
        <v/>
      </c>
      <c r="E42" s="229">
        <f t="shared" ca="1" si="21"/>
        <v>35</v>
      </c>
      <c r="F42" s="191" t="s">
        <v>144</v>
      </c>
      <c r="G42" s="230"/>
      <c r="H42" s="231"/>
      <c r="I42" s="232">
        <f t="array" aca="1" ref="I42" ca="1">(IF(COUNT(P42,R42,Y42,AA42)&lt;3,SUM(P42,R42,Y42,AA42),SUM(LARGE((P42,R42,Y42,AA42),{1;2;3}))))+(IF(COUNT(Q42,S42,T42,X42)&lt;3,SUM(Q42,S42,T42,X42),SUM(LARGE((Q42,S42,T42,X42),{1;2;3}))))+(IF(COUNT(U42,V42,W42,Z42,AB42)&lt;3,SUM(U42,V42,W42,Z42,AB42),SUM(LARGE((U42,V42,W42,Z42,AB42),{1;2;3}))))</f>
        <v>38</v>
      </c>
      <c r="J42" s="233" t="str">
        <f ca="1">INDEX(ETAPP!B$1:B$32,MATCH(COUNTIF(P42:AB42,PIV!A$1),ETAPP!A$1:A$32,0))&amp;INDEX(ETAPP!B$1:B$32,MATCH(COUNTIF(P42:AB42,PIV!A$2),ETAPP!A$1:A$32,0))&amp;INDEX(ETAPP!B$1:B$32,MATCH(COUNTIF(P42:AB42,PIV!A$3),ETAPP!A$1:A$32,0))&amp;INDEX(ETAPP!B$1:B$32,MATCH(COUNTIF(P42:AB42,PIV!A$4),ETAPP!A$1:A$32,0))&amp;INDEX(ETAPP!B$1:B$32,MATCH(COUNTIF(P42:AB42,PIV!A$5),ETAPP!A$1:A$32,0))&amp;INDEX(ETAPP!B$1:B$32,MATCH(COUNTIF(P42:AB42,PIV!A$6),ETAPP!A$1:A$32,0))&amp;INDEX(ETAPP!B$1:B$32,MATCH(COUNTIF(P42:AB42,PIV!A$7),ETAPP!A$1:A$32,0))&amp;INDEX(ETAPP!B$1:B$32,MATCH(COUNTIF(P42:AB42,PIV!A$8),ETAPP!A$1:A$32,0))&amp;INDEX(ETAPP!B$1:B$32,MATCH(COUNTIF(P42:AB42,PIV!A$9),ETAPP!A$1:A$32,0))&amp;INDEX(ETAPP!B$1:B$32,MATCH(COUNTIF(P42:AB42,PIV!A$10),ETAPP!A$1:A$32,0))&amp;INDEX(ETAPP!B$1:B$32,MATCH(COUNTIF(P42:AB42,PIV!A$11),ETAPP!A$1:A$32,0))&amp;INDEX(ETAPP!B$1:B$32,MATCH(COUNTIF(P42:AB42,PIV!A$12),ETAPP!A$1:A$32,0))&amp;INDEX(ETAPP!B$1:B$32,MATCH(COUNTIF(P42:AB42,PIV!A$13),ETAPP!A$1:A$32,0))&amp;INDEX(ETAPP!B$1:B$32,MATCH(COUNTIF(P42:AB42,PIV!A$14),ETAPP!A$1:A$32,0))&amp;INDEX(ETAPP!B$1:B$32,MATCH(COUNTIF(P42:AB42,PIV!A$15),ETAPP!A$1:A$32,0))&amp;INDEX(ETAPP!B$1:B$32,MATCH(COUNTIF(P42:AB42,PIV!A$16),ETAPP!A$1:A$32,0))&amp;INDEX(ETAPP!B$1:B$32,MATCH(COUNTIF(P42:AB42,PIV!A$17),ETAPP!A$1:A$32,0))&amp;INDEX(ETAPP!B$1:B$32,MATCH(COUNTIF(P42:AB42,PIV!A$18),ETAPP!A$1:A$32,0))&amp;INDEX(ETAPP!B$1:B$32,MATCH(COUNTIF(P42:AB42,PIV!A$19),ETAPP!A$1:A$32,0))</f>
        <v>000000000AAA0000B0C</v>
      </c>
      <c r="K42" s="233" t="str">
        <f t="shared" ca="1" si="22"/>
        <v>038,0-000000000AAA0000B0C</v>
      </c>
      <c r="L42" s="234">
        <f t="shared" ca="1" si="23"/>
        <v>35</v>
      </c>
      <c r="M42" s="234">
        <f t="shared" si="24"/>
        <v>11</v>
      </c>
      <c r="N42" s="233" t="str">
        <f t="shared" ca="1" si="25"/>
        <v>038,0-000000000AAA0000B0C-011</v>
      </c>
      <c r="O42" s="235">
        <f t="shared" ca="1" si="26"/>
        <v>21</v>
      </c>
      <c r="P42" s="236" t="str">
        <f>IFERROR(INDEX('1'!C$300:C$400,MATCH("*"&amp;F42&amp;"*",'1'!B$300:B$400,0)),"  ")</f>
        <v xml:space="preserve">  </v>
      </c>
      <c r="Q42" s="237">
        <f>IFERROR(INDEX('2'!C$300:C$400,MATCH("*"&amp;F42&amp;"*",'2'!B$300:B$400,0)),"  ")</f>
        <v>12</v>
      </c>
      <c r="R42" s="237">
        <f>IFERROR(INDEX('3'!C$300:C$400,MATCH("*"&amp;F42&amp;"*",'3'!B$300:B$400,0)),"  ")</f>
        <v>10</v>
      </c>
      <c r="S42" s="237">
        <f>IFERROR(INDEX('4'!C$300:C$400,MATCH("*"&amp;F42&amp;"*",'4'!B$300:B$400,0)),"  ")</f>
        <v>14</v>
      </c>
      <c r="T42" s="237" t="str">
        <f>IFERROR(INDEX('5'!C$300:C$400,MATCH("*"&amp;F42&amp;"*",'5'!B$300:B$400,0)),"  ")</f>
        <v xml:space="preserve">  </v>
      </c>
      <c r="U42" s="237" t="str">
        <f>IFERROR(INDEX('6'!C$300:C$400,MATCH("*"&amp;F42&amp;"*",'6'!B$300:B$400,0)),"  ")</f>
        <v xml:space="preserve">  </v>
      </c>
      <c r="V42" s="237">
        <f>IFERROR(INDEX('7'!C$300:C$400,MATCH("*"&amp;F42&amp;"*",'7'!B$300:B$400,0)),"  ")</f>
        <v>1</v>
      </c>
      <c r="W42" s="237" t="str">
        <f ca="1">IFERROR(INDEX('8'!C$300:C$400,MATCH("*"&amp;F42&amp;"*",'8'!B$300:B$400,0)),"  ")</f>
        <v xml:space="preserve">  </v>
      </c>
      <c r="X42" s="237" t="str">
        <f>IFERROR(INDEX('9'!C$300:C$400,MATCH("*"&amp;F42&amp;"*",'9'!B$300:B$400,0)),"  ")</f>
        <v xml:space="preserve">  </v>
      </c>
      <c r="Y42" s="237" t="str">
        <f>IFERROR(INDEX('10'!C$300:C$400,MATCH("*"&amp;F42&amp;"*",'10'!B$300:B$400,0)),"  ")</f>
        <v xml:space="preserve">  </v>
      </c>
      <c r="Z42" s="236" t="str">
        <f>IFERROR(INDEX('11'!C$300:C$400,MATCH("*"&amp;F42&amp;"*",'11'!B$300:B$400,0)),"  ")</f>
        <v xml:space="preserve">  </v>
      </c>
      <c r="AA42" s="237" t="str">
        <f>IFERROR(INDEX('12'!C$300:C$400,MATCH("*"&amp;F42&amp;"*",'12'!B$300:B$400,0)),"  ")</f>
        <v xml:space="preserve">  </v>
      </c>
      <c r="AB42" s="237">
        <f>IFERROR(INDEX('13'!C$300:C$400,MATCH("*"&amp;F42&amp;"*",'13'!B$300:B$400,0)),"  ")</f>
        <v>1</v>
      </c>
      <c r="AC42" s="239">
        <f t="shared" ca="1" si="27"/>
        <v>5</v>
      </c>
      <c r="AD42" s="239">
        <f t="shared" ca="1" si="28"/>
        <v>0</v>
      </c>
      <c r="AE42" s="239">
        <f t="shared" ca="1" si="29"/>
        <v>0</v>
      </c>
      <c r="AF42" s="240">
        <f t="shared" si="30"/>
        <v>1E-4</v>
      </c>
      <c r="AG42" s="240">
        <f t="shared" si="31"/>
        <v>5.0000000000000001E-4</v>
      </c>
      <c r="AH42" s="240">
        <f t="shared" ca="1" si="32"/>
        <v>5.9999999999999995E-4</v>
      </c>
      <c r="AI42" s="240">
        <f t="shared" ca="1" si="33"/>
        <v>8.0000000000000004E-4</v>
      </c>
      <c r="AJ42" s="171"/>
    </row>
    <row r="43" spans="1:36" x14ac:dyDescent="0.2">
      <c r="A43" s="225" t="str">
        <f t="shared" si="17"/>
        <v/>
      </c>
      <c r="B43" s="226" t="str">
        <f t="shared" si="18"/>
        <v/>
      </c>
      <c r="C43" s="227" t="str">
        <f t="shared" si="19"/>
        <v/>
      </c>
      <c r="D43" s="228" t="str">
        <f t="shared" si="20"/>
        <v/>
      </c>
      <c r="E43" s="229">
        <f t="shared" ca="1" si="21"/>
        <v>36</v>
      </c>
      <c r="F43" s="245" t="s">
        <v>195</v>
      </c>
      <c r="G43" s="230"/>
      <c r="H43" s="231"/>
      <c r="I43" s="232">
        <f t="array" aca="1" ref="I43" ca="1">(IF(COUNT(P43,R43,Y43,AA43)&lt;3,SUM(P43,R43,Y43,AA43),SUM(LARGE((P43,R43,Y43,AA43),{1;2;3}))))+(IF(COUNT(Q43,S43,T43,X43)&lt;3,SUM(Q43,S43,T43,X43),SUM(LARGE((Q43,S43,T43,X43),{1;2;3}))))+(IF(COUNT(U43,V43,W43,Z43,AB43)&lt;3,SUM(U43,V43,W43,Z43,AB43),SUM(LARGE((U43,V43,W43,Z43,AB43),{1;2;3}))))</f>
        <v>34</v>
      </c>
      <c r="J43" s="233" t="str">
        <f ca="1">INDEX(ETAPP!B$1:B$32,MATCH(COUNTIF(P43:AB43,PIV!A$1),ETAPP!A$1:A$32,0))&amp;INDEX(ETAPP!B$1:B$32,MATCH(COUNTIF(P43:AB43,PIV!A$2),ETAPP!A$1:A$32,0))&amp;INDEX(ETAPP!B$1:B$32,MATCH(COUNTIF(P43:AB43,PIV!A$3),ETAPP!A$1:A$32,0))&amp;INDEX(ETAPP!B$1:B$32,MATCH(COUNTIF(P43:AB43,PIV!A$4),ETAPP!A$1:A$32,0))&amp;INDEX(ETAPP!B$1:B$32,MATCH(COUNTIF(P43:AB43,PIV!A$5),ETAPP!A$1:A$32,0))&amp;INDEX(ETAPP!B$1:B$32,MATCH(COUNTIF(P43:AB43,PIV!A$6),ETAPP!A$1:A$32,0))&amp;INDEX(ETAPP!B$1:B$32,MATCH(COUNTIF(P43:AB43,PIV!A$7),ETAPP!A$1:A$32,0))&amp;INDEX(ETAPP!B$1:B$32,MATCH(COUNTIF(P43:AB43,PIV!A$8),ETAPP!A$1:A$32,0))&amp;INDEX(ETAPP!B$1:B$32,MATCH(COUNTIF(P43:AB43,PIV!A$9),ETAPP!A$1:A$32,0))&amp;INDEX(ETAPP!B$1:B$32,MATCH(COUNTIF(P43:AB43,PIV!A$10),ETAPP!A$1:A$32,0))&amp;INDEX(ETAPP!B$1:B$32,MATCH(COUNTIF(P43:AB43,PIV!A$11),ETAPP!A$1:A$32,0))&amp;INDEX(ETAPP!B$1:B$32,MATCH(COUNTIF(P43:AB43,PIV!A$12),ETAPP!A$1:A$32,0))&amp;INDEX(ETAPP!B$1:B$32,MATCH(COUNTIF(P43:AB43,PIV!A$13),ETAPP!A$1:A$32,0))&amp;INDEX(ETAPP!B$1:B$32,MATCH(COUNTIF(P43:AB43,PIV!A$14),ETAPP!A$1:A$32,0))&amp;INDEX(ETAPP!B$1:B$32,MATCH(COUNTIF(P43:AB43,PIV!A$15),ETAPP!A$1:A$32,0))&amp;INDEX(ETAPP!B$1:B$32,MATCH(COUNTIF(P43:AB43,PIV!A$16),ETAPP!A$1:A$32,0))&amp;INDEX(ETAPP!B$1:B$32,MATCH(COUNTIF(P43:AB43,PIV!A$17),ETAPP!A$1:A$32,0))&amp;INDEX(ETAPP!B$1:B$32,MATCH(COUNTIF(P43:AB43,PIV!A$18),ETAPP!A$1:A$32,0))&amp;INDEX(ETAPP!B$1:B$32,MATCH(COUNTIF(P43:AB43,PIV!A$19),ETAPP!A$1:A$32,0))</f>
        <v>00000A0000A0000000F</v>
      </c>
      <c r="K43" s="233" t="str">
        <f t="shared" ca="1" si="22"/>
        <v>034,0-00000A0000A0000000F</v>
      </c>
      <c r="L43" s="234">
        <f t="shared" ca="1" si="23"/>
        <v>36</v>
      </c>
      <c r="M43" s="234">
        <f t="shared" si="24"/>
        <v>52</v>
      </c>
      <c r="N43" s="233" t="str">
        <f t="shared" ca="1" si="25"/>
        <v>034,0-00000A0000A0000000F-052</v>
      </c>
      <c r="O43" s="235">
        <f t="shared" ca="1" si="26"/>
        <v>20</v>
      </c>
      <c r="P43" s="236" t="str">
        <f>IFERROR(INDEX('1'!C$300:C$400,MATCH("*"&amp;F43&amp;"*",'1'!B$300:B$400,0)),"  ")</f>
        <v xml:space="preserve">  </v>
      </c>
      <c r="Q43" s="237" t="str">
        <f>IFERROR(INDEX('2'!C$300:C$400,MATCH("*"&amp;F43&amp;"*",'2'!B$300:B$400,0)),"  ")</f>
        <v xml:space="preserve">  </v>
      </c>
      <c r="R43" s="237">
        <f>IFERROR(INDEX('3'!C$300:C$400,MATCH("*"&amp;F43&amp;"*",'3'!B$300:B$400,0)),"  ")</f>
        <v>22</v>
      </c>
      <c r="S43" s="237">
        <f>IFERROR(INDEX('4'!C$300:C$400,MATCH("*"&amp;F43&amp;"*",'4'!B$300:B$400,0)),"  ")</f>
        <v>12</v>
      </c>
      <c r="T43" s="237" t="str">
        <f>IFERROR(INDEX('5'!C$300:C$400,MATCH("*"&amp;F43&amp;"*",'5'!B$300:B$400,0)),"  ")</f>
        <v xml:space="preserve">  </v>
      </c>
      <c r="U43" s="237" t="str">
        <f>IFERROR(INDEX('6'!C$300:C$400,MATCH("*"&amp;F43&amp;"*",'6'!B$300:B$400,0)),"  ")</f>
        <v xml:space="preserve">  </v>
      </c>
      <c r="V43" s="237" t="str">
        <f>IFERROR(INDEX('7'!C$300:C$400,MATCH("*"&amp;F43&amp;"*",'7'!B$300:B$400,0)),"  ")</f>
        <v xml:space="preserve">  </v>
      </c>
      <c r="W43" s="237" t="str">
        <f ca="1">IFERROR(INDEX('8'!C$300:C$400,MATCH("*"&amp;F43&amp;"*",'8'!B$300:B$400,0)),"  ")</f>
        <v xml:space="preserve">  </v>
      </c>
      <c r="X43" s="237" t="str">
        <f>IFERROR(INDEX('9'!C$300:C$400,MATCH("*"&amp;F43&amp;"*",'9'!B$300:B$400,0)),"  ")</f>
        <v xml:space="preserve">  </v>
      </c>
      <c r="Y43" s="237" t="str">
        <f>IFERROR(INDEX('10'!C$300:C$400,MATCH("*"&amp;F43&amp;"*",'10'!B$300:B$400,0)),"  ")</f>
        <v xml:space="preserve">  </v>
      </c>
      <c r="Z43" s="236" t="str">
        <f>IFERROR(INDEX('11'!C$300:C$400,MATCH("*"&amp;F43&amp;"*",'11'!B$300:B$400,0)),"  ")</f>
        <v xml:space="preserve">  </v>
      </c>
      <c r="AA43" s="237" t="str">
        <f>IFERROR(INDEX('12'!C$300:C$400,MATCH("*"&amp;F43&amp;"*",'12'!B$300:B$400,0)),"  ")</f>
        <v xml:space="preserve">  </v>
      </c>
      <c r="AB43" s="237" t="str">
        <f>IFERROR(INDEX('13'!C$300:C$400,MATCH("*"&amp;F43&amp;"*",'13'!B$300:B$400,0)),"  ")</f>
        <v xml:space="preserve">  </v>
      </c>
      <c r="AC43" s="239">
        <f t="shared" ca="1" si="27"/>
        <v>2</v>
      </c>
      <c r="AD43" s="239">
        <f t="shared" ca="1" si="28"/>
        <v>0</v>
      </c>
      <c r="AE43" s="239">
        <f t="shared" ca="1" si="29"/>
        <v>0</v>
      </c>
      <c r="AF43" s="240">
        <f t="shared" si="30"/>
        <v>1E-4</v>
      </c>
      <c r="AG43" s="240">
        <f t="shared" si="31"/>
        <v>2.0000000000000001E-4</v>
      </c>
      <c r="AH43" s="240">
        <f t="shared" ca="1" si="32"/>
        <v>5.9999999999999995E-4</v>
      </c>
      <c r="AI43" s="240" t="e">
        <f t="shared" ca="1" si="33"/>
        <v>#VALUE!</v>
      </c>
      <c r="AJ43" s="171"/>
    </row>
    <row r="44" spans="1:36" x14ac:dyDescent="0.2">
      <c r="A44" s="225" t="str">
        <f t="shared" si="17"/>
        <v/>
      </c>
      <c r="B44" s="226" t="str">
        <f t="shared" si="18"/>
        <v/>
      </c>
      <c r="C44" s="227" t="str">
        <f t="shared" si="19"/>
        <v/>
      </c>
      <c r="D44" s="228" t="str">
        <f t="shared" si="20"/>
        <v/>
      </c>
      <c r="E44" s="229">
        <f t="shared" ca="1" si="21"/>
        <v>37</v>
      </c>
      <c r="F44" s="242" t="s">
        <v>149</v>
      </c>
      <c r="G44" s="230"/>
      <c r="H44" s="231"/>
      <c r="I44" s="232">
        <f t="array" aca="1" ref="I44" ca="1">(IF(COUNT(P44,R44,Y44,AA44)&lt;3,SUM(P44,R44,Y44,AA44),SUM(LARGE((P44,R44,Y44,AA44),{1;2;3}))))+(IF(COUNT(Q44,S44,T44,X44)&lt;3,SUM(Q44,S44,T44,X44),SUM(LARGE((Q44,S44,T44,X44),{1;2;3}))))+(IF(COUNT(U44,V44,W44,Z44,AB44)&lt;3,SUM(U44,V44,W44,Z44,AB44),SUM(LARGE((U44,V44,W44,Z44,AB44),{1;2;3}))))</f>
        <v>34</v>
      </c>
      <c r="J44" s="233" t="str">
        <f ca="1">INDEX(ETAPP!B$1:B$32,MATCH(COUNTIF(P44:AB44,PIV!A$1),ETAPP!A$1:A$32,0))&amp;INDEX(ETAPP!B$1:B$32,MATCH(COUNTIF(P44:AB44,PIV!A$2),ETAPP!A$1:A$32,0))&amp;INDEX(ETAPP!B$1:B$32,MATCH(COUNTIF(P44:AB44,PIV!A$3),ETAPP!A$1:A$32,0))&amp;INDEX(ETAPP!B$1:B$32,MATCH(COUNTIF(P44:AB44,PIV!A$4),ETAPP!A$1:A$32,0))&amp;INDEX(ETAPP!B$1:B$32,MATCH(COUNTIF(P44:AB44,PIV!A$5),ETAPP!A$1:A$32,0))&amp;INDEX(ETAPP!B$1:B$32,MATCH(COUNTIF(P44:AB44,PIV!A$6),ETAPP!A$1:A$32,0))&amp;INDEX(ETAPP!B$1:B$32,MATCH(COUNTIF(P44:AB44,PIV!A$7),ETAPP!A$1:A$32,0))&amp;INDEX(ETAPP!B$1:B$32,MATCH(COUNTIF(P44:AB44,PIV!A$8),ETAPP!A$1:A$32,0))&amp;INDEX(ETAPP!B$1:B$32,MATCH(COUNTIF(P44:AB44,PIV!A$9),ETAPP!A$1:A$32,0))&amp;INDEX(ETAPP!B$1:B$32,MATCH(COUNTIF(P44:AB44,PIV!A$10),ETAPP!A$1:A$32,0))&amp;INDEX(ETAPP!B$1:B$32,MATCH(COUNTIF(P44:AB44,PIV!A$11),ETAPP!A$1:A$32,0))&amp;INDEX(ETAPP!B$1:B$32,MATCH(COUNTIF(P44:AB44,PIV!A$12),ETAPP!A$1:A$32,0))&amp;INDEX(ETAPP!B$1:B$32,MATCH(COUNTIF(P44:AB44,PIV!A$13),ETAPP!A$1:A$32,0))&amp;INDEX(ETAPP!B$1:B$32,MATCH(COUNTIF(P44:AB44,PIV!A$14),ETAPP!A$1:A$32,0))&amp;INDEX(ETAPP!B$1:B$32,MATCH(COUNTIF(P44:AB44,PIV!A$15),ETAPP!A$1:A$32,0))&amp;INDEX(ETAPP!B$1:B$32,MATCH(COUNTIF(P44:AB44,PIV!A$16),ETAPP!A$1:A$32,0))&amp;INDEX(ETAPP!B$1:B$32,MATCH(COUNTIF(P44:AB44,PIV!A$17),ETAPP!A$1:A$32,0))&amp;INDEX(ETAPP!B$1:B$32,MATCH(COUNTIF(P44:AB44,PIV!A$18),ETAPP!A$1:A$32,0))&amp;INDEX(ETAPP!B$1:B$32,MATCH(COUNTIF(P44:AB44,PIV!A$19),ETAPP!A$1:A$32,0))</f>
        <v>000000000A0AA000B0C</v>
      </c>
      <c r="K44" s="233" t="str">
        <f t="shared" ca="1" si="22"/>
        <v>034,0-000000000A0AA000B0C</v>
      </c>
      <c r="L44" s="234">
        <f t="shared" ca="1" si="23"/>
        <v>37</v>
      </c>
      <c r="M44" s="234">
        <f t="shared" si="24"/>
        <v>4</v>
      </c>
      <c r="N44" s="233" t="str">
        <f t="shared" ca="1" si="25"/>
        <v>034,0-000000000A0AA000B0C-004</v>
      </c>
      <c r="O44" s="235">
        <f t="shared" ca="1" si="26"/>
        <v>19</v>
      </c>
      <c r="P44" s="236" t="str">
        <f>IFERROR(INDEX('1'!C$300:C$400,MATCH("*"&amp;F44&amp;"*",'1'!B$300:B$400,0)),"  ")</f>
        <v xml:space="preserve">  </v>
      </c>
      <c r="Q44" s="237" t="str">
        <f>IFERROR(INDEX('2'!C$300:C$400,MATCH("*"&amp;F44&amp;"*",'2'!B$300:B$400,0)),"  ")</f>
        <v xml:space="preserve">  </v>
      </c>
      <c r="R44" s="237" t="str">
        <f>IFERROR(INDEX('3'!C$300:C$400,MATCH("*"&amp;F44&amp;"*",'3'!B$300:B$400,0)),"  ")</f>
        <v xml:space="preserve">  </v>
      </c>
      <c r="S44" s="237">
        <f>IFERROR(INDEX('4'!C$300:C$400,MATCH("*"&amp;F44&amp;"*",'4'!B$300:B$400,0)),"  ")</f>
        <v>10</v>
      </c>
      <c r="T44" s="237" t="str">
        <f>IFERROR(INDEX('5'!C$300:C$400,MATCH("*"&amp;F44&amp;"*",'5'!B$300:B$400,0)),"  ")</f>
        <v xml:space="preserve">  </v>
      </c>
      <c r="U44" s="237">
        <f>IFERROR(INDEX('6'!C$300:C$400,MATCH("*"&amp;F44&amp;"*",'6'!B$300:B$400,0)),"  ")</f>
        <v>1</v>
      </c>
      <c r="V44" s="237" t="str">
        <f>IFERROR(INDEX('7'!C$300:C$400,MATCH("*"&amp;F44&amp;"*",'7'!B$300:B$400,0)),"  ")</f>
        <v xml:space="preserve">  </v>
      </c>
      <c r="W44" s="237" t="str">
        <f ca="1">IFERROR(INDEX('8'!C$300:C$400,MATCH("*"&amp;F44&amp;"*",'8'!B$300:B$400,0)),"  ")</f>
        <v xml:space="preserve">  </v>
      </c>
      <c r="X44" s="237">
        <f>IFERROR(INDEX('9'!C$300:C$400,MATCH("*"&amp;F44&amp;"*",'9'!B$300:B$400,0)),"  ")</f>
        <v>8</v>
      </c>
      <c r="Y44" s="237" t="str">
        <f>IFERROR(INDEX('10'!C$300:C$400,MATCH("*"&amp;F44&amp;"*",'10'!B$300:B$400,0)),"  ")</f>
        <v xml:space="preserve">  </v>
      </c>
      <c r="Z44" s="236">
        <f>IFERROR(INDEX('11'!C$300:C$400,MATCH("*"&amp;F44&amp;"*",'11'!B$300:B$400,0)),"  ")</f>
        <v>14</v>
      </c>
      <c r="AA44" s="237" t="str">
        <f>IFERROR(INDEX('12'!C$300:C$400,MATCH("*"&amp;F44&amp;"*",'12'!B$300:B$400,0)),"  ")</f>
        <v xml:space="preserve">  </v>
      </c>
      <c r="AB44" s="237">
        <f>IFERROR(INDEX('13'!C$300:C$400,MATCH("*"&amp;F44&amp;"*",'13'!B$300:B$400,0)),"  ")</f>
        <v>1</v>
      </c>
      <c r="AC44" s="239">
        <f t="shared" ca="1" si="27"/>
        <v>5</v>
      </c>
      <c r="AD44" s="239">
        <f t="shared" ca="1" si="28"/>
        <v>0</v>
      </c>
      <c r="AE44" s="239">
        <f t="shared" ca="1" si="29"/>
        <v>0</v>
      </c>
      <c r="AF44" s="240">
        <f t="shared" si="30"/>
        <v>1E-4</v>
      </c>
      <c r="AG44" s="240">
        <f t="shared" si="31"/>
        <v>2.0000000000000001E-4</v>
      </c>
      <c r="AH44" s="240">
        <f t="shared" ca="1" si="32"/>
        <v>6.9999999999999999E-4</v>
      </c>
      <c r="AI44" s="240">
        <f t="shared" ca="1" si="33"/>
        <v>8.0000000000000004E-4</v>
      </c>
      <c r="AJ44" s="171"/>
    </row>
    <row r="45" spans="1:36" x14ac:dyDescent="0.2">
      <c r="A45" s="225" t="str">
        <f t="shared" si="17"/>
        <v/>
      </c>
      <c r="B45" s="226" t="str">
        <f t="shared" si="18"/>
        <v/>
      </c>
      <c r="C45" s="227" t="str">
        <f t="shared" si="19"/>
        <v/>
      </c>
      <c r="D45" s="228" t="str">
        <f t="shared" si="20"/>
        <v/>
      </c>
      <c r="E45" s="229">
        <f t="shared" ca="1" si="21"/>
        <v>38</v>
      </c>
      <c r="F45" s="191" t="s">
        <v>147</v>
      </c>
      <c r="G45" s="230"/>
      <c r="H45" s="231"/>
      <c r="I45" s="232">
        <f t="array" aca="1" ref="I45" ca="1">(IF(COUNT(P45,R45,Y45,AA45)&lt;3,SUM(P45,R45,Y45,AA45),SUM(LARGE((P45,R45,Y45,AA45),{1;2;3}))))+(IF(COUNT(Q45,S45,T45,X45)&lt;3,SUM(Q45,S45,T45,X45),SUM(LARGE((Q45,S45,T45,X45),{1;2;3}))))+(IF(COUNT(U45,V45,W45,Z45,AB45)&lt;3,SUM(U45,V45,W45,Z45,AB45),SUM(LARGE((U45,V45,W45,Z45,AB45),{1;2;3}))))</f>
        <v>32</v>
      </c>
      <c r="J45" s="233" t="str">
        <f ca="1">INDEX(ETAPP!B$1:B$32,MATCH(COUNTIF(P45:AB45,PIV!A$1),ETAPP!A$1:A$32,0))&amp;INDEX(ETAPP!B$1:B$32,MATCH(COUNTIF(P45:AB45,PIV!A$2),ETAPP!A$1:A$32,0))&amp;INDEX(ETAPP!B$1:B$32,MATCH(COUNTIF(P45:AB45,PIV!A$3),ETAPP!A$1:A$32,0))&amp;INDEX(ETAPP!B$1:B$32,MATCH(COUNTIF(P45:AB45,PIV!A$4),ETAPP!A$1:A$32,0))&amp;INDEX(ETAPP!B$1:B$32,MATCH(COUNTIF(P45:AB45,PIV!A$5),ETAPP!A$1:A$32,0))&amp;INDEX(ETAPP!B$1:B$32,MATCH(COUNTIF(P45:AB45,PIV!A$6),ETAPP!A$1:A$32,0))&amp;INDEX(ETAPP!B$1:B$32,MATCH(COUNTIF(P45:AB45,PIV!A$7),ETAPP!A$1:A$32,0))&amp;INDEX(ETAPP!B$1:B$32,MATCH(COUNTIF(P45:AB45,PIV!A$8),ETAPP!A$1:A$32,0))&amp;INDEX(ETAPP!B$1:B$32,MATCH(COUNTIF(P45:AB45,PIV!A$9),ETAPP!A$1:A$32,0))&amp;INDEX(ETAPP!B$1:B$32,MATCH(COUNTIF(P45:AB45,PIV!A$10),ETAPP!A$1:A$32,0))&amp;INDEX(ETAPP!B$1:B$32,MATCH(COUNTIF(P45:AB45,PIV!A$11),ETAPP!A$1:A$32,0))&amp;INDEX(ETAPP!B$1:B$32,MATCH(COUNTIF(P45:AB45,PIV!A$12),ETAPP!A$1:A$32,0))&amp;INDEX(ETAPP!B$1:B$32,MATCH(COUNTIF(P45:AB45,PIV!A$13),ETAPP!A$1:A$32,0))&amp;INDEX(ETAPP!B$1:B$32,MATCH(COUNTIF(P45:AB45,PIV!A$14),ETAPP!A$1:A$32,0))&amp;INDEX(ETAPP!B$1:B$32,MATCH(COUNTIF(P45:AB45,PIV!A$15),ETAPP!A$1:A$32,0))&amp;INDEX(ETAPP!B$1:B$32,MATCH(COUNTIF(P45:AB45,PIV!A$16),ETAPP!A$1:A$32,0))&amp;INDEX(ETAPP!B$1:B$32,MATCH(COUNTIF(P45:AB45,PIV!A$17),ETAPP!A$1:A$32,0))&amp;INDEX(ETAPP!B$1:B$32,MATCH(COUNTIF(P45:AB45,PIV!A$18),ETAPP!A$1:A$32,0))&amp;INDEX(ETAPP!B$1:B$32,MATCH(COUNTIF(P45:AB45,PIV!A$19),ETAPP!A$1:A$32,0))</f>
        <v>0000000A0A00000000F</v>
      </c>
      <c r="K45" s="233" t="str">
        <f t="shared" ca="1" si="22"/>
        <v>032,0-0000000A0A00000000F</v>
      </c>
      <c r="L45" s="234">
        <f t="shared" ca="1" si="23"/>
        <v>38</v>
      </c>
      <c r="M45" s="234">
        <f t="shared" si="24"/>
        <v>46</v>
      </c>
      <c r="N45" s="233" t="str">
        <f t="shared" ca="1" si="25"/>
        <v>032,0-0000000A0A00000000F-046</v>
      </c>
      <c r="O45" s="235">
        <f t="shared" ca="1" si="26"/>
        <v>18</v>
      </c>
      <c r="P45" s="236" t="str">
        <f>IFERROR(INDEX('1'!C$300:C$400,MATCH("*"&amp;F45&amp;"*",'1'!B$300:B$400,0)),"  ")</f>
        <v xml:space="preserve">  </v>
      </c>
      <c r="Q45" s="237">
        <f>IFERROR(INDEX('2'!C$300:C$400,MATCH("*"&amp;F45&amp;"*",'2'!B$300:B$400,0)),"  ")</f>
        <v>14</v>
      </c>
      <c r="R45" s="237" t="str">
        <f>IFERROR(INDEX('3'!C$300:C$400,MATCH("*"&amp;F45&amp;"*",'3'!B$300:B$400,0)),"  ")</f>
        <v xml:space="preserve">  </v>
      </c>
      <c r="S45" s="237" t="str">
        <f>IFERROR(INDEX('4'!C$300:C$400,MATCH("*"&amp;F45&amp;"*",'4'!B$300:B$400,0)),"  ")</f>
        <v xml:space="preserve">  </v>
      </c>
      <c r="T45" s="237" t="str">
        <f>IFERROR(INDEX('5'!C$300:C$400,MATCH("*"&amp;F45&amp;"*",'5'!B$300:B$400,0)),"  ")</f>
        <v xml:space="preserve">  </v>
      </c>
      <c r="U45" s="237" t="str">
        <f>IFERROR(INDEX('6'!C$300:C$400,MATCH("*"&amp;F45&amp;"*",'6'!B$300:B$400,0)),"  ")</f>
        <v xml:space="preserve">  </v>
      </c>
      <c r="V45" s="237" t="str">
        <f>IFERROR(INDEX('7'!C$300:C$400,MATCH("*"&amp;F45&amp;"*",'7'!B$300:B$400,0)),"  ")</f>
        <v xml:space="preserve">  </v>
      </c>
      <c r="W45" s="237" t="str">
        <f ca="1">IFERROR(INDEX('8'!C$300:C$400,MATCH("*"&amp;F45&amp;"*",'8'!B$300:B$400,0)),"  ")</f>
        <v xml:space="preserve">  </v>
      </c>
      <c r="X45" s="237">
        <f>IFERROR(INDEX('9'!C$300:C$400,MATCH("*"&amp;F45&amp;"*",'9'!B$300:B$400,0)),"  ")</f>
        <v>18</v>
      </c>
      <c r="Y45" s="237" t="str">
        <f>IFERROR(INDEX('10'!C$300:C$400,MATCH("*"&amp;F45&amp;"*",'10'!B$300:B$400,0)),"  ")</f>
        <v xml:space="preserve">  </v>
      </c>
      <c r="Z45" s="236" t="str">
        <f>IFERROR(INDEX('11'!C$300:C$400,MATCH("*"&amp;F45&amp;"*",'11'!B$300:B$400,0)),"  ")</f>
        <v xml:space="preserve">  </v>
      </c>
      <c r="AA45" s="237" t="str">
        <f>IFERROR(INDEX('12'!C$300:C$400,MATCH("*"&amp;F45&amp;"*",'12'!B$300:B$400,0)),"  ")</f>
        <v xml:space="preserve">  </v>
      </c>
      <c r="AB45" s="237" t="str">
        <f>IFERROR(INDEX('13'!C$300:C$400,MATCH("*"&amp;F45&amp;"*",'13'!B$300:B$400,0)),"  ")</f>
        <v xml:space="preserve">  </v>
      </c>
      <c r="AC45" s="239">
        <f t="shared" ca="1" si="27"/>
        <v>2</v>
      </c>
      <c r="AD45" s="239">
        <f t="shared" ca="1" si="28"/>
        <v>0</v>
      </c>
      <c r="AE45" s="239">
        <f t="shared" ca="1" si="29"/>
        <v>0</v>
      </c>
      <c r="AF45" s="240">
        <f t="shared" si="30"/>
        <v>1E-4</v>
      </c>
      <c r="AG45" s="240">
        <f t="shared" si="31"/>
        <v>4.0000000000000002E-4</v>
      </c>
      <c r="AH45" s="240">
        <f t="shared" ca="1" si="32"/>
        <v>5.9999999999999995E-4</v>
      </c>
      <c r="AI45" s="240" t="e">
        <f t="shared" ca="1" si="33"/>
        <v>#VALUE!</v>
      </c>
      <c r="AJ45" s="171"/>
    </row>
    <row r="46" spans="1:36" x14ac:dyDescent="0.2">
      <c r="A46" s="225" t="str">
        <f t="shared" si="17"/>
        <v/>
      </c>
      <c r="B46" s="226" t="str">
        <f t="shared" si="18"/>
        <v/>
      </c>
      <c r="C46" s="227">
        <f t="shared" ca="1" si="19"/>
        <v>3</v>
      </c>
      <c r="D46" s="228">
        <f t="shared" ca="1" si="20"/>
        <v>39</v>
      </c>
      <c r="E46" s="229">
        <f t="shared" ca="1" si="21"/>
        <v>39</v>
      </c>
      <c r="F46" s="245" t="s">
        <v>464</v>
      </c>
      <c r="G46" s="230"/>
      <c r="H46" s="250" t="s">
        <v>125</v>
      </c>
      <c r="I46" s="232">
        <f t="array" aca="1" ref="I46" ca="1">(IF(COUNT(P46,R46,Y46,AA46)&lt;3,SUM(P46,R46,Y46,AA46),SUM(LARGE((P46,R46,Y46,AA46),{1;2;3}))))+(IF(COUNT(Q46,S46,T46,X46)&lt;3,SUM(Q46,S46,T46,X46),SUM(LARGE((Q46,S46,T46,X46),{1;2;3}))))+(IF(COUNT(U46,V46,W46,Z46,AB46)&lt;3,SUM(U46,V46,W46,Z46,AB46),SUM(LARGE((U46,V46,W46,Z46,AB46),{1;2;3}))))</f>
        <v>27</v>
      </c>
      <c r="J46" s="233" t="str">
        <f ca="1">INDEX(ETAPP!B$1:B$32,MATCH(COUNTIF(P46:AB46,PIV!A$1),ETAPP!A$1:A$32,0))&amp;INDEX(ETAPP!B$1:B$32,MATCH(COUNTIF(P46:AB46,PIV!A$2),ETAPP!A$1:A$32,0))&amp;INDEX(ETAPP!B$1:B$32,MATCH(COUNTIF(P46:AB46,PIV!A$3),ETAPP!A$1:A$32,0))&amp;INDEX(ETAPP!B$1:B$32,MATCH(COUNTIF(P46:AB46,PIV!A$4),ETAPP!A$1:A$32,0))&amp;INDEX(ETAPP!B$1:B$32,MATCH(COUNTIF(P46:AB46,PIV!A$5),ETAPP!A$1:A$32,0))&amp;INDEX(ETAPP!B$1:B$32,MATCH(COUNTIF(P46:AB46,PIV!A$6),ETAPP!A$1:A$32,0))&amp;INDEX(ETAPP!B$1:B$32,MATCH(COUNTIF(P46:AB46,PIV!A$7),ETAPP!A$1:A$32,0))&amp;INDEX(ETAPP!B$1:B$32,MATCH(COUNTIF(P46:AB46,PIV!A$8),ETAPP!A$1:A$32,0))&amp;INDEX(ETAPP!B$1:B$32,MATCH(COUNTIF(P46:AB46,PIV!A$9),ETAPP!A$1:A$32,0))&amp;INDEX(ETAPP!B$1:B$32,MATCH(COUNTIF(P46:AB46,PIV!A$10),ETAPP!A$1:A$32,0))&amp;INDEX(ETAPP!B$1:B$32,MATCH(COUNTIF(P46:AB46,PIV!A$11),ETAPP!A$1:A$32,0))&amp;INDEX(ETAPP!B$1:B$32,MATCH(COUNTIF(P46:AB46,PIV!A$12),ETAPP!A$1:A$32,0))&amp;INDEX(ETAPP!B$1:B$32,MATCH(COUNTIF(P46:AB46,PIV!A$13),ETAPP!A$1:A$32,0))&amp;INDEX(ETAPP!B$1:B$32,MATCH(COUNTIF(P46:AB46,PIV!A$14),ETAPP!A$1:A$32,0))&amp;INDEX(ETAPP!B$1:B$32,MATCH(COUNTIF(P46:AB46,PIV!A$15),ETAPP!A$1:A$32,0))&amp;INDEX(ETAPP!B$1:B$32,MATCH(COUNTIF(P46:AB46,PIV!A$16),ETAPP!A$1:A$32,0))&amp;INDEX(ETAPP!B$1:B$32,MATCH(COUNTIF(P46:AB46,PIV!A$17),ETAPP!A$1:A$32,0))&amp;INDEX(ETAPP!B$1:B$32,MATCH(COUNTIF(P46:AB46,PIV!A$18),ETAPP!A$1:A$32,0))&amp;INDEX(ETAPP!B$1:B$32,MATCH(COUNTIF(P46:AB46,PIV!A$19),ETAPP!A$1:A$32,0))</f>
        <v>000000000AA00000A0E</v>
      </c>
      <c r="K46" s="233" t="str">
        <f t="shared" ca="1" si="22"/>
        <v>027,0-000000000AA00000A0E</v>
      </c>
      <c r="L46" s="234">
        <f t="shared" ca="1" si="23"/>
        <v>39</v>
      </c>
      <c r="M46" s="234">
        <f t="shared" si="24"/>
        <v>18</v>
      </c>
      <c r="N46" s="233" t="str">
        <f t="shared" ca="1" si="25"/>
        <v>027,0-000000000AA00000A0E-018</v>
      </c>
      <c r="O46" s="235">
        <f t="shared" ca="1" si="26"/>
        <v>17</v>
      </c>
      <c r="P46" s="236" t="str">
        <f>IFERROR(INDEX('1'!C$300:C$400,MATCH("*"&amp;F46&amp;"*",'1'!B$300:B$400,0)),"  ")</f>
        <v xml:space="preserve">  </v>
      </c>
      <c r="Q46" s="237" t="str">
        <f>IFERROR(INDEX('2'!C$300:C$400,MATCH("*"&amp;F46&amp;"*",'2'!B$300:B$400,0)),"  ")</f>
        <v xml:space="preserve">  </v>
      </c>
      <c r="R46" s="237">
        <f>IFERROR(INDEX('3'!C$300:C$400,MATCH("*"&amp;F46&amp;"*",'3'!B$300:B$400,0)),"  ")</f>
        <v>12</v>
      </c>
      <c r="S46" s="237" t="str">
        <f>IFERROR(INDEX('4'!C$300:C$400,MATCH("*"&amp;F46&amp;"*",'4'!B$300:B$400,0)),"  ")</f>
        <v xml:space="preserve">  </v>
      </c>
      <c r="T46" s="237">
        <f>IFERROR(INDEX('5'!C$300:C$400,MATCH("*"&amp;F46&amp;"*",'5'!B$300:B$400,0)),"  ")</f>
        <v>14</v>
      </c>
      <c r="U46" s="237" t="str">
        <f>IFERROR(INDEX('6'!C$300:C$400,MATCH("*"&amp;F46&amp;"*",'6'!B$300:B$400,0)),"  ")</f>
        <v xml:space="preserve">  </v>
      </c>
      <c r="V46" s="237" t="str">
        <f>IFERROR(INDEX('7'!C$300:C$400,MATCH("*"&amp;F46&amp;"*",'7'!B$300:B$400,0)),"  ")</f>
        <v xml:space="preserve">  </v>
      </c>
      <c r="W46" s="237" t="str">
        <f ca="1">IFERROR(INDEX('8'!C$300:C$400,MATCH("*"&amp;F46&amp;"*",'8'!B$300:B$400,0)),"  ")</f>
        <v xml:space="preserve">  </v>
      </c>
      <c r="X46" s="237" t="str">
        <f>IFERROR(INDEX('9'!C$300:C$400,MATCH("*"&amp;F46&amp;"*",'9'!B$300:B$400,0)),"  ")</f>
        <v xml:space="preserve">  </v>
      </c>
      <c r="Y46" s="237" t="str">
        <f>IFERROR(INDEX('10'!C$300:C$400,MATCH("*"&amp;F46&amp;"*",'10'!B$300:B$400,0)),"  ")</f>
        <v xml:space="preserve">  </v>
      </c>
      <c r="Z46" s="236">
        <f>IFERROR(INDEX('11'!C$300:C$400,MATCH("*"&amp;F46&amp;"*",'11'!B$300:B$400,0)),"  ")</f>
        <v>1</v>
      </c>
      <c r="AA46" s="237" t="str">
        <f>IFERROR(INDEX('12'!C$300:C$400,MATCH("*"&amp;F46&amp;"*",'12'!B$300:B$400,0)),"  ")</f>
        <v xml:space="preserve">  </v>
      </c>
      <c r="AB46" s="237" t="str">
        <f>IFERROR(INDEX('13'!C$300:C$400,MATCH("*"&amp;F46&amp;"*",'13'!B$300:B$400,0)),"  ")</f>
        <v xml:space="preserve">  </v>
      </c>
      <c r="AC46" s="239">
        <f t="shared" ca="1" si="27"/>
        <v>3</v>
      </c>
      <c r="AD46" s="239">
        <f t="shared" ca="1" si="28"/>
        <v>0</v>
      </c>
      <c r="AE46" s="239">
        <f t="shared" ca="1" si="29"/>
        <v>0</v>
      </c>
      <c r="AF46" s="240">
        <f t="shared" si="30"/>
        <v>1E-4</v>
      </c>
      <c r="AG46" s="240">
        <f t="shared" si="31"/>
        <v>2.0000000000000001E-4</v>
      </c>
      <c r="AH46" s="240">
        <f t="shared" ca="1" si="32"/>
        <v>5.9999999999999995E-4</v>
      </c>
      <c r="AI46" s="240" t="e">
        <f t="shared" ca="1" si="33"/>
        <v>#VALUE!</v>
      </c>
      <c r="AJ46" s="171"/>
    </row>
    <row r="47" spans="1:36" x14ac:dyDescent="0.2">
      <c r="A47" s="225">
        <f t="shared" ca="1" si="17"/>
        <v>6</v>
      </c>
      <c r="B47" s="226">
        <f t="shared" ca="1" si="18"/>
        <v>45</v>
      </c>
      <c r="C47" s="227" t="str">
        <f t="shared" si="19"/>
        <v/>
      </c>
      <c r="D47" s="228" t="str">
        <f t="shared" si="20"/>
        <v/>
      </c>
      <c r="E47" s="229">
        <f t="shared" ca="1" si="21"/>
        <v>40</v>
      </c>
      <c r="F47" s="191" t="s">
        <v>131</v>
      </c>
      <c r="G47" s="230" t="s">
        <v>119</v>
      </c>
      <c r="H47" s="231"/>
      <c r="I47" s="232">
        <f t="array" aca="1" ref="I47" ca="1">(IF(COUNT(P47,R47,Y47,AA47)&lt;3,SUM(P47,R47,Y47,AA47),SUM(LARGE((P47,R47,Y47,AA47),{1;2;3}))))+(IF(COUNT(Q47,S47,T47,X47)&lt;3,SUM(Q47,S47,T47,X47),SUM(LARGE((Q47,S47,T47,X47),{1;2;3}))))+(IF(COUNT(U47,V47,W47,Z47,AB47)&lt;3,SUM(U47,V47,W47,Z47,AB47),SUM(LARGE((U47,V47,W47,Z47,AB47),{1;2;3}))))</f>
        <v>20</v>
      </c>
      <c r="J47" s="233" t="str">
        <f ca="1">INDEX(ETAPP!B$1:B$32,MATCH(COUNTIF(P47:AB47,PIV!A$1),ETAPP!A$1:A$32,0))&amp;INDEX(ETAPP!B$1:B$32,MATCH(COUNTIF(P47:AB47,PIV!A$2),ETAPP!A$1:A$32,0))&amp;INDEX(ETAPP!B$1:B$32,MATCH(COUNTIF(P47:AB47,PIV!A$3),ETAPP!A$1:A$32,0))&amp;INDEX(ETAPP!B$1:B$32,MATCH(COUNTIF(P47:AB47,PIV!A$4),ETAPP!A$1:A$32,0))&amp;INDEX(ETAPP!B$1:B$32,MATCH(COUNTIF(P47:AB47,PIV!A$5),ETAPP!A$1:A$32,0))&amp;INDEX(ETAPP!B$1:B$32,MATCH(COUNTIF(P47:AB47,PIV!A$6),ETAPP!A$1:A$32,0))&amp;INDEX(ETAPP!B$1:B$32,MATCH(COUNTIF(P47:AB47,PIV!A$7),ETAPP!A$1:A$32,0))&amp;INDEX(ETAPP!B$1:B$32,MATCH(COUNTIF(P47:AB47,PIV!A$8),ETAPP!A$1:A$32,0))&amp;INDEX(ETAPP!B$1:B$32,MATCH(COUNTIF(P47:AB47,PIV!A$9),ETAPP!A$1:A$32,0))&amp;INDEX(ETAPP!B$1:B$32,MATCH(COUNTIF(P47:AB47,PIV!A$10),ETAPP!A$1:A$32,0))&amp;INDEX(ETAPP!B$1:B$32,MATCH(COUNTIF(P47:AB47,PIV!A$11),ETAPP!A$1:A$32,0))&amp;INDEX(ETAPP!B$1:B$32,MATCH(COUNTIF(P47:AB47,PIV!A$12),ETAPP!A$1:A$32,0))&amp;INDEX(ETAPP!B$1:B$32,MATCH(COUNTIF(P47:AB47,PIV!A$13),ETAPP!A$1:A$32,0))&amp;INDEX(ETAPP!B$1:B$32,MATCH(COUNTIF(P47:AB47,PIV!A$14),ETAPP!A$1:A$32,0))&amp;INDEX(ETAPP!B$1:B$32,MATCH(COUNTIF(P47:AB47,PIV!A$15),ETAPP!A$1:A$32,0))&amp;INDEX(ETAPP!B$1:B$32,MATCH(COUNTIF(P47:AB47,PIV!A$16),ETAPP!A$1:A$32,0))&amp;INDEX(ETAPP!B$1:B$32,MATCH(COUNTIF(P47:AB47,PIV!A$17),ETAPP!A$1:A$32,0))&amp;INDEX(ETAPP!B$1:B$32,MATCH(COUNTIF(P47:AB47,PIV!A$18),ETAPP!A$1:A$32,0))&amp;INDEX(ETAPP!B$1:B$32,MATCH(COUNTIF(P47:AB47,PIV!A$19),ETAPP!A$1:A$32,0))</f>
        <v>000000A00000000000G</v>
      </c>
      <c r="K47" s="233" t="str">
        <f t="shared" ca="1" si="22"/>
        <v>020,0-000000A00000000000G</v>
      </c>
      <c r="L47" s="234">
        <f t="shared" ca="1" si="23"/>
        <v>45</v>
      </c>
      <c r="M47" s="234">
        <f t="shared" si="24"/>
        <v>54</v>
      </c>
      <c r="N47" s="233" t="str">
        <f t="shared" ca="1" si="25"/>
        <v>020,0-000000A00000000000G-054</v>
      </c>
      <c r="O47" s="235">
        <f t="shared" ca="1" si="26"/>
        <v>16</v>
      </c>
      <c r="P47" s="236" t="str">
        <f>IFERROR(INDEX('1'!C$300:C$400,MATCH("*"&amp;F47&amp;"*",'1'!B$300:B$400,0)),"  ")</f>
        <v xml:space="preserve">  </v>
      </c>
      <c r="Q47" s="237" t="str">
        <f>IFERROR(INDEX('2'!C$300:C$400,MATCH("*"&amp;F47&amp;"*",'2'!B$300:B$400,0)),"  ")</f>
        <v xml:space="preserve">  </v>
      </c>
      <c r="R47" s="237" t="str">
        <f>IFERROR(INDEX('3'!C$300:C$400,MATCH("*"&amp;F47&amp;"*",'3'!B$300:B$400,0)),"  ")</f>
        <v xml:space="preserve">  </v>
      </c>
      <c r="S47" s="237" t="str">
        <f>IFERROR(INDEX('4'!C$300:C$400,MATCH("*"&amp;F47&amp;"*",'4'!B$300:B$400,0)),"  ")</f>
        <v xml:space="preserve">  </v>
      </c>
      <c r="T47" s="237" t="str">
        <f>IFERROR(INDEX('5'!C$300:C$400,MATCH("*"&amp;F47&amp;"*",'5'!B$300:B$400,0)),"  ")</f>
        <v xml:space="preserve">  </v>
      </c>
      <c r="U47" s="237" t="str">
        <f>IFERROR(INDEX('6'!C$300:C$400,MATCH("*"&amp;F47&amp;"*",'6'!B$300:B$400,0)),"  ")</f>
        <v xml:space="preserve">  </v>
      </c>
      <c r="V47" s="237" t="str">
        <f>IFERROR(INDEX('7'!C$300:C$400,MATCH("*"&amp;F47&amp;"*",'7'!B$300:B$400,0)),"  ")</f>
        <v xml:space="preserve">  </v>
      </c>
      <c r="W47" s="237" t="str">
        <f ca="1">IFERROR(INDEX('8'!C$300:C$400,MATCH("*"&amp;F47&amp;"*",'8'!B$300:B$400,0)),"  ")</f>
        <v xml:space="preserve">  </v>
      </c>
      <c r="X47" s="237" t="str">
        <f>IFERROR(INDEX('9'!C$300:C$400,MATCH("*"&amp;F47&amp;"*",'9'!B$300:B$400,0)),"  ")</f>
        <v xml:space="preserve">  </v>
      </c>
      <c r="Y47" s="237" t="str">
        <f>IFERROR(INDEX('10'!C$300:C$400,MATCH("*"&amp;F47&amp;"*",'10'!B$300:B$400,0)),"  ")</f>
        <v xml:space="preserve">  </v>
      </c>
      <c r="Z47" s="236" t="str">
        <f>IFERROR(INDEX('11'!C$300:C$400,MATCH("*"&amp;F47&amp;"*",'11'!B$300:B$400,0)),"  ")</f>
        <v xml:space="preserve">  </v>
      </c>
      <c r="AA47" s="237">
        <f>IFERROR(INDEX('12'!C$300:C$400,MATCH("*"&amp;F47&amp;"*",'12'!B$300:B$400,0)),"  ")</f>
        <v>20</v>
      </c>
      <c r="AB47" s="237" t="str">
        <f>IFERROR(INDEX('13'!C$300:C$400,MATCH("*"&amp;F47&amp;"*",'13'!B$300:B$400,0)),"  ")</f>
        <v xml:space="preserve">  </v>
      </c>
      <c r="AC47" s="239">
        <f t="shared" ca="1" si="27"/>
        <v>1</v>
      </c>
      <c r="AD47" s="239">
        <f t="shared" ca="1" si="28"/>
        <v>0</v>
      </c>
      <c r="AE47" s="239">
        <f t="shared" ca="1" si="29"/>
        <v>0</v>
      </c>
      <c r="AF47" s="240">
        <f t="shared" si="30"/>
        <v>1E-4</v>
      </c>
      <c r="AG47" s="240">
        <f t="shared" si="31"/>
        <v>2.0000000000000001E-4</v>
      </c>
      <c r="AH47" s="240">
        <f t="shared" ca="1" si="32"/>
        <v>5.9999999999999995E-4</v>
      </c>
      <c r="AI47" s="240" t="e">
        <f t="shared" ca="1" si="33"/>
        <v>#VALUE!</v>
      </c>
      <c r="AJ47" s="251"/>
    </row>
    <row r="48" spans="1:36" x14ac:dyDescent="0.2">
      <c r="A48" s="225" t="str">
        <f t="shared" si="17"/>
        <v/>
      </c>
      <c r="B48" s="226" t="str">
        <f t="shared" si="18"/>
        <v/>
      </c>
      <c r="C48" s="227" t="str">
        <f t="shared" si="19"/>
        <v/>
      </c>
      <c r="D48" s="228" t="str">
        <f t="shared" si="20"/>
        <v/>
      </c>
      <c r="E48" s="229">
        <f t="shared" ca="1" si="21"/>
        <v>40</v>
      </c>
      <c r="F48" s="245" t="s">
        <v>194</v>
      </c>
      <c r="G48" s="230"/>
      <c r="H48" s="231"/>
      <c r="I48" s="232">
        <f t="array" aca="1" ref="I48" ca="1">(IF(COUNT(P48,R48,Y48,AA48)&lt;3,SUM(P48,R48,Y48,AA48),SUM(LARGE((P48,R48,Y48,AA48),{1;2;3}))))+(IF(COUNT(Q48,S48,T48,X48)&lt;3,SUM(Q48,S48,T48,X48),SUM(LARGE((Q48,S48,T48,X48),{1;2;3}))))+(IF(COUNT(U48,V48,W48,Z48,AB48)&lt;3,SUM(U48,V48,W48,Z48,AB48),SUM(LARGE((U48,V48,W48,Z48,AB48),{1;2;3}))))</f>
        <v>20</v>
      </c>
      <c r="J48" s="233" t="str">
        <f ca="1">INDEX(ETAPP!B$1:B$32,MATCH(COUNTIF(P48:AB48,PIV!A$1),ETAPP!A$1:A$32,0))&amp;INDEX(ETAPP!B$1:B$32,MATCH(COUNTIF(P48:AB48,PIV!A$2),ETAPP!A$1:A$32,0))&amp;INDEX(ETAPP!B$1:B$32,MATCH(COUNTIF(P48:AB48,PIV!A$3),ETAPP!A$1:A$32,0))&amp;INDEX(ETAPP!B$1:B$32,MATCH(COUNTIF(P48:AB48,PIV!A$4),ETAPP!A$1:A$32,0))&amp;INDEX(ETAPP!B$1:B$32,MATCH(COUNTIF(P48:AB48,PIV!A$5),ETAPP!A$1:A$32,0))&amp;INDEX(ETAPP!B$1:B$32,MATCH(COUNTIF(P48:AB48,PIV!A$6),ETAPP!A$1:A$32,0))&amp;INDEX(ETAPP!B$1:B$32,MATCH(COUNTIF(P48:AB48,PIV!A$7),ETAPP!A$1:A$32,0))&amp;INDEX(ETAPP!B$1:B$32,MATCH(COUNTIF(P48:AB48,PIV!A$8),ETAPP!A$1:A$32,0))&amp;INDEX(ETAPP!B$1:B$32,MATCH(COUNTIF(P48:AB48,PIV!A$9),ETAPP!A$1:A$32,0))&amp;INDEX(ETAPP!B$1:B$32,MATCH(COUNTIF(P48:AB48,PIV!A$10),ETAPP!A$1:A$32,0))&amp;INDEX(ETAPP!B$1:B$32,MATCH(COUNTIF(P48:AB48,PIV!A$11),ETAPP!A$1:A$32,0))&amp;INDEX(ETAPP!B$1:B$32,MATCH(COUNTIF(P48:AB48,PIV!A$12),ETAPP!A$1:A$32,0))&amp;INDEX(ETAPP!B$1:B$32,MATCH(COUNTIF(P48:AB48,PIV!A$13),ETAPP!A$1:A$32,0))&amp;INDEX(ETAPP!B$1:B$32,MATCH(COUNTIF(P48:AB48,PIV!A$14),ETAPP!A$1:A$32,0))&amp;INDEX(ETAPP!B$1:B$32,MATCH(COUNTIF(P48:AB48,PIV!A$15),ETAPP!A$1:A$32,0))&amp;INDEX(ETAPP!B$1:B$32,MATCH(COUNTIF(P48:AB48,PIV!A$16),ETAPP!A$1:A$32,0))&amp;INDEX(ETAPP!B$1:B$32,MATCH(COUNTIF(P48:AB48,PIV!A$17),ETAPP!A$1:A$32,0))&amp;INDEX(ETAPP!B$1:B$32,MATCH(COUNTIF(P48:AB48,PIV!A$18),ETAPP!A$1:A$32,0))&amp;INDEX(ETAPP!B$1:B$32,MATCH(COUNTIF(P48:AB48,PIV!A$19),ETAPP!A$1:A$32,0))</f>
        <v>000000A00000000000G</v>
      </c>
      <c r="K48" s="233" t="str">
        <f t="shared" ca="1" si="22"/>
        <v>020,0-000000A00000000000G</v>
      </c>
      <c r="L48" s="234">
        <f t="shared" ca="1" si="23"/>
        <v>45</v>
      </c>
      <c r="M48" s="234">
        <f t="shared" si="24"/>
        <v>53</v>
      </c>
      <c r="N48" s="233" t="str">
        <f t="shared" ca="1" si="25"/>
        <v>020,0-000000A00000000000G-053</v>
      </c>
      <c r="O48" s="235">
        <f t="shared" ca="1" si="26"/>
        <v>15</v>
      </c>
      <c r="P48" s="236" t="str">
        <f>IFERROR(INDEX('1'!C$300:C$400,MATCH("*"&amp;F48&amp;"*",'1'!B$300:B$400,0)),"  ")</f>
        <v xml:space="preserve">  </v>
      </c>
      <c r="Q48" s="237" t="str">
        <f>IFERROR(INDEX('2'!C$300:C$400,MATCH("*"&amp;F48&amp;"*",'2'!B$300:B$400,0)),"  ")</f>
        <v xml:space="preserve">  </v>
      </c>
      <c r="R48" s="237" t="str">
        <f>IFERROR(INDEX('3'!C$300:C$400,MATCH("*"&amp;F48&amp;"*",'3'!B$300:B$400,0)),"  ")</f>
        <v xml:space="preserve">  </v>
      </c>
      <c r="S48" s="237" t="str">
        <f>IFERROR(INDEX('4'!C$300:C$400,MATCH("*"&amp;F48&amp;"*",'4'!B$300:B$400,0)),"  ")</f>
        <v xml:space="preserve">  </v>
      </c>
      <c r="T48" s="237" t="str">
        <f>IFERROR(INDEX('5'!C$300:C$400,MATCH("*"&amp;F48&amp;"*",'5'!B$300:B$400,0)),"  ")</f>
        <v xml:space="preserve">  </v>
      </c>
      <c r="U48" s="237" t="str">
        <f>IFERROR(INDEX('6'!C$300:C$400,MATCH("*"&amp;F48&amp;"*",'6'!B$300:B$400,0)),"  ")</f>
        <v xml:space="preserve">  </v>
      </c>
      <c r="V48" s="237" t="str">
        <f>IFERROR(INDEX('7'!C$300:C$400,MATCH("*"&amp;F48&amp;"*",'7'!B$300:B$400,0)),"  ")</f>
        <v xml:space="preserve">  </v>
      </c>
      <c r="W48" s="237" t="str">
        <f ca="1">IFERROR(INDEX('8'!C$300:C$400,MATCH("*"&amp;F48&amp;"*",'8'!B$300:B$400,0)),"  ")</f>
        <v xml:space="preserve">  </v>
      </c>
      <c r="X48" s="237">
        <f>IFERROR(INDEX('9'!C$300:C$400,MATCH("*"&amp;F48&amp;"*",'9'!B$300:B$400,0)),"  ")</f>
        <v>20</v>
      </c>
      <c r="Y48" s="237" t="str">
        <f>IFERROR(INDEX('10'!C$300:C$400,MATCH("*"&amp;F48&amp;"*",'10'!B$300:B$400,0)),"  ")</f>
        <v xml:space="preserve">  </v>
      </c>
      <c r="Z48" s="236" t="str">
        <f>IFERROR(INDEX('11'!C$300:C$400,MATCH("*"&amp;F48&amp;"*",'11'!B$300:B$400,0)),"  ")</f>
        <v xml:space="preserve">  </v>
      </c>
      <c r="AA48" s="237" t="str">
        <f>IFERROR(INDEX('12'!C$300:C$400,MATCH("*"&amp;F48&amp;"*",'12'!B$300:B$400,0)),"  ")</f>
        <v xml:space="preserve">  </v>
      </c>
      <c r="AB48" s="237" t="str">
        <f>IFERROR(INDEX('13'!C$300:C$400,MATCH("*"&amp;F48&amp;"*",'13'!B$300:B$400,0)),"  ")</f>
        <v xml:space="preserve">  </v>
      </c>
      <c r="AC48" s="239">
        <f t="shared" ca="1" si="27"/>
        <v>1</v>
      </c>
      <c r="AD48" s="239">
        <f t="shared" ca="1" si="28"/>
        <v>0</v>
      </c>
      <c r="AE48" s="239">
        <f t="shared" ca="1" si="29"/>
        <v>0</v>
      </c>
      <c r="AF48" s="240">
        <f t="shared" si="30"/>
        <v>1E-4</v>
      </c>
      <c r="AG48" s="240">
        <f t="shared" si="31"/>
        <v>2.0000000000000001E-4</v>
      </c>
      <c r="AH48" s="240">
        <f t="shared" ca="1" si="32"/>
        <v>5.9999999999999995E-4</v>
      </c>
      <c r="AI48" s="240" t="e">
        <f t="shared" ca="1" si="33"/>
        <v>#VALUE!</v>
      </c>
      <c r="AJ48" s="171"/>
    </row>
    <row r="49" spans="1:36" x14ac:dyDescent="0.2">
      <c r="A49" s="225" t="str">
        <f t="shared" si="17"/>
        <v/>
      </c>
      <c r="B49" s="226" t="str">
        <f t="shared" si="18"/>
        <v/>
      </c>
      <c r="C49" s="227" t="str">
        <f t="shared" si="19"/>
        <v/>
      </c>
      <c r="D49" s="228" t="str">
        <f t="shared" si="20"/>
        <v/>
      </c>
      <c r="E49" s="229">
        <f t="shared" ca="1" si="21"/>
        <v>40</v>
      </c>
      <c r="F49" s="245" t="s">
        <v>463</v>
      </c>
      <c r="G49" s="230"/>
      <c r="H49" s="231"/>
      <c r="I49" s="232">
        <f t="array" aca="1" ref="I49" ca="1">(IF(COUNT(P49,R49,Y49,AA49)&lt;3,SUM(P49,R49,Y49,AA49),SUM(LARGE((P49,R49,Y49,AA49),{1;2;3}))))+(IF(COUNT(Q49,S49,T49,X49)&lt;3,SUM(Q49,S49,T49,X49),SUM(LARGE((Q49,S49,T49,X49),{1;2;3}))))+(IF(COUNT(U49,V49,W49,Z49,AB49)&lt;3,SUM(U49,V49,W49,Z49,AB49),SUM(LARGE((U49,V49,W49,Z49,AB49),{1;2;3}))))</f>
        <v>20</v>
      </c>
      <c r="J49" s="233" t="str">
        <f ca="1">INDEX(ETAPP!B$1:B$32,MATCH(COUNTIF(P49:AB49,PIV!A$1),ETAPP!A$1:A$32,0))&amp;INDEX(ETAPP!B$1:B$32,MATCH(COUNTIF(P49:AB49,PIV!A$2),ETAPP!A$1:A$32,0))&amp;INDEX(ETAPP!B$1:B$32,MATCH(COUNTIF(P49:AB49,PIV!A$3),ETAPP!A$1:A$32,0))&amp;INDEX(ETAPP!B$1:B$32,MATCH(COUNTIF(P49:AB49,PIV!A$4),ETAPP!A$1:A$32,0))&amp;INDEX(ETAPP!B$1:B$32,MATCH(COUNTIF(P49:AB49,PIV!A$5),ETAPP!A$1:A$32,0))&amp;INDEX(ETAPP!B$1:B$32,MATCH(COUNTIF(P49:AB49,PIV!A$6),ETAPP!A$1:A$32,0))&amp;INDEX(ETAPP!B$1:B$32,MATCH(COUNTIF(P49:AB49,PIV!A$7),ETAPP!A$1:A$32,0))&amp;INDEX(ETAPP!B$1:B$32,MATCH(COUNTIF(P49:AB49,PIV!A$8),ETAPP!A$1:A$32,0))&amp;INDEX(ETAPP!B$1:B$32,MATCH(COUNTIF(P49:AB49,PIV!A$9),ETAPP!A$1:A$32,0))&amp;INDEX(ETAPP!B$1:B$32,MATCH(COUNTIF(P49:AB49,PIV!A$10),ETAPP!A$1:A$32,0))&amp;INDEX(ETAPP!B$1:B$32,MATCH(COUNTIF(P49:AB49,PIV!A$11),ETAPP!A$1:A$32,0))&amp;INDEX(ETAPP!B$1:B$32,MATCH(COUNTIF(P49:AB49,PIV!A$12),ETAPP!A$1:A$32,0))&amp;INDEX(ETAPP!B$1:B$32,MATCH(COUNTIF(P49:AB49,PIV!A$13),ETAPP!A$1:A$32,0))&amp;INDEX(ETAPP!B$1:B$32,MATCH(COUNTIF(P49:AB49,PIV!A$14),ETAPP!A$1:A$32,0))&amp;INDEX(ETAPP!B$1:B$32,MATCH(COUNTIF(P49:AB49,PIV!A$15),ETAPP!A$1:A$32,0))&amp;INDEX(ETAPP!B$1:B$32,MATCH(COUNTIF(P49:AB49,PIV!A$16),ETAPP!A$1:A$32,0))&amp;INDEX(ETAPP!B$1:B$32,MATCH(COUNTIF(P49:AB49,PIV!A$17),ETAPP!A$1:A$32,0))&amp;INDEX(ETAPP!B$1:B$32,MATCH(COUNTIF(P49:AB49,PIV!A$18),ETAPP!A$1:A$32,0))&amp;INDEX(ETAPP!B$1:B$32,MATCH(COUNTIF(P49:AB49,PIV!A$19),ETAPP!A$1:A$32,0))</f>
        <v>000000A00000000000G</v>
      </c>
      <c r="K49" s="233" t="str">
        <f t="shared" ca="1" si="22"/>
        <v>020,0-000000A00000000000G</v>
      </c>
      <c r="L49" s="234">
        <f t="shared" ca="1" si="23"/>
        <v>45</v>
      </c>
      <c r="M49" s="234">
        <f t="shared" si="24"/>
        <v>42</v>
      </c>
      <c r="N49" s="233" t="str">
        <f t="shared" ca="1" si="25"/>
        <v>020,0-000000A00000000000G-042</v>
      </c>
      <c r="O49" s="235">
        <f t="shared" ca="1" si="26"/>
        <v>14</v>
      </c>
      <c r="P49" s="236" t="str">
        <f>IFERROR(INDEX('1'!C$300:C$400,MATCH("*"&amp;F49&amp;"*",'1'!B$300:B$400,0)),"  ")</f>
        <v xml:space="preserve">  </v>
      </c>
      <c r="Q49" s="237" t="str">
        <f>IFERROR(INDEX('2'!C$300:C$400,MATCH("*"&amp;F49&amp;"*",'2'!B$300:B$400,0)),"  ")</f>
        <v xml:space="preserve">  </v>
      </c>
      <c r="R49" s="237">
        <f>IFERROR(INDEX('3'!C$300:C$400,MATCH("*"&amp;F49&amp;"*",'3'!B$300:B$400,0)),"  ")</f>
        <v>20</v>
      </c>
      <c r="S49" s="237" t="str">
        <f>IFERROR(INDEX('4'!C$300:C$400,MATCH("*"&amp;F49&amp;"*",'4'!B$300:B$400,0)),"  ")</f>
        <v xml:space="preserve">  </v>
      </c>
      <c r="T49" s="237" t="str">
        <f>IFERROR(INDEX('5'!C$300:C$400,MATCH("*"&amp;F49&amp;"*",'5'!B$300:B$400,0)),"  ")</f>
        <v xml:space="preserve">  </v>
      </c>
      <c r="U49" s="237" t="str">
        <f>IFERROR(INDEX('6'!C$300:C$400,MATCH("*"&amp;F49&amp;"*",'6'!B$300:B$400,0)),"  ")</f>
        <v xml:space="preserve">  </v>
      </c>
      <c r="V49" s="237" t="str">
        <f>IFERROR(INDEX('7'!C$300:C$400,MATCH("*"&amp;F49&amp;"*",'7'!B$300:B$400,0)),"  ")</f>
        <v xml:space="preserve">  </v>
      </c>
      <c r="W49" s="237" t="str">
        <f ca="1">IFERROR(INDEX('8'!C$300:C$400,MATCH("*"&amp;F49&amp;"*",'8'!B$300:B$400,0)),"  ")</f>
        <v xml:space="preserve">  </v>
      </c>
      <c r="X49" s="237" t="str">
        <f>IFERROR(INDEX('9'!C$300:C$400,MATCH("*"&amp;F49&amp;"*",'9'!B$300:B$400,0)),"  ")</f>
        <v xml:space="preserve">  </v>
      </c>
      <c r="Y49" s="237" t="str">
        <f>IFERROR(INDEX('10'!C$300:C$400,MATCH("*"&amp;F49&amp;"*",'10'!B$300:B$400,0)),"  ")</f>
        <v xml:space="preserve">  </v>
      </c>
      <c r="Z49" s="236" t="str">
        <f>IFERROR(INDEX('11'!C$300:C$400,MATCH("*"&amp;F49&amp;"*",'11'!B$300:B$400,0)),"  ")</f>
        <v xml:space="preserve">  </v>
      </c>
      <c r="AA49" s="237" t="str">
        <f>IFERROR(INDEX('12'!C$300:C$400,MATCH("*"&amp;F49&amp;"*",'12'!B$300:B$400,0)),"  ")</f>
        <v xml:space="preserve">  </v>
      </c>
      <c r="AB49" s="237" t="str">
        <f>IFERROR(INDEX('13'!C$300:C$400,MATCH("*"&amp;F49&amp;"*",'13'!B$300:B$400,0)),"  ")</f>
        <v xml:space="preserve">  </v>
      </c>
      <c r="AC49" s="239">
        <f t="shared" ca="1" si="27"/>
        <v>1</v>
      </c>
      <c r="AD49" s="239">
        <f t="shared" ca="1" si="28"/>
        <v>0</v>
      </c>
      <c r="AE49" s="239">
        <f t="shared" ca="1" si="29"/>
        <v>0</v>
      </c>
      <c r="AF49" s="240">
        <f t="shared" si="30"/>
        <v>1E-4</v>
      </c>
      <c r="AG49" s="240">
        <f t="shared" si="31"/>
        <v>2.0000000000000001E-4</v>
      </c>
      <c r="AH49" s="240">
        <f t="shared" ca="1" si="32"/>
        <v>5.9999999999999995E-4</v>
      </c>
      <c r="AI49" s="240" t="e">
        <f t="shared" ca="1" si="33"/>
        <v>#VALUE!</v>
      </c>
      <c r="AJ49" s="171"/>
    </row>
    <row r="50" spans="1:36" x14ac:dyDescent="0.2">
      <c r="A50" s="225" t="str">
        <f t="shared" si="17"/>
        <v/>
      </c>
      <c r="B50" s="226" t="str">
        <f t="shared" si="18"/>
        <v/>
      </c>
      <c r="C50" s="227" t="str">
        <f t="shared" si="19"/>
        <v/>
      </c>
      <c r="D50" s="228" t="str">
        <f t="shared" si="20"/>
        <v/>
      </c>
      <c r="E50" s="229">
        <f t="shared" ca="1" si="21"/>
        <v>40</v>
      </c>
      <c r="F50" s="191" t="s">
        <v>128</v>
      </c>
      <c r="G50" s="230"/>
      <c r="H50" s="231"/>
      <c r="I50" s="232">
        <f t="array" aca="1" ref="I50" ca="1">(IF(COUNT(P50,R50,Y50,AA50)&lt;3,SUM(P50,R50,Y50,AA50),SUM(LARGE((P50,R50,Y50,AA50),{1;2;3}))))+(IF(COUNT(Q50,S50,T50,X50)&lt;3,SUM(Q50,S50,T50,X50),SUM(LARGE((Q50,S50,T50,X50),{1;2;3}))))+(IF(COUNT(U50,V50,W50,Z50,AB50)&lt;3,SUM(U50,V50,W50,Z50,AB50),SUM(LARGE((U50,V50,W50,Z50,AB50),{1;2;3}))))</f>
        <v>20</v>
      </c>
      <c r="J50" s="233" t="str">
        <f ca="1">INDEX(ETAPP!B$1:B$32,MATCH(COUNTIF(P50:AB50,PIV!A$1),ETAPP!A$1:A$32,0))&amp;INDEX(ETAPP!B$1:B$32,MATCH(COUNTIF(P50:AB50,PIV!A$2),ETAPP!A$1:A$32,0))&amp;INDEX(ETAPP!B$1:B$32,MATCH(COUNTIF(P50:AB50,PIV!A$3),ETAPP!A$1:A$32,0))&amp;INDEX(ETAPP!B$1:B$32,MATCH(COUNTIF(P50:AB50,PIV!A$4),ETAPP!A$1:A$32,0))&amp;INDEX(ETAPP!B$1:B$32,MATCH(COUNTIF(P50:AB50,PIV!A$5),ETAPP!A$1:A$32,0))&amp;INDEX(ETAPP!B$1:B$32,MATCH(COUNTIF(P50:AB50,PIV!A$6),ETAPP!A$1:A$32,0))&amp;INDEX(ETAPP!B$1:B$32,MATCH(COUNTIF(P50:AB50,PIV!A$7),ETAPP!A$1:A$32,0))&amp;INDEX(ETAPP!B$1:B$32,MATCH(COUNTIF(P50:AB50,PIV!A$8),ETAPP!A$1:A$32,0))&amp;INDEX(ETAPP!B$1:B$32,MATCH(COUNTIF(P50:AB50,PIV!A$9),ETAPP!A$1:A$32,0))&amp;INDEX(ETAPP!B$1:B$32,MATCH(COUNTIF(P50:AB50,PIV!A$10),ETAPP!A$1:A$32,0))&amp;INDEX(ETAPP!B$1:B$32,MATCH(COUNTIF(P50:AB50,PIV!A$11),ETAPP!A$1:A$32,0))&amp;INDEX(ETAPP!B$1:B$32,MATCH(COUNTIF(P50:AB50,PIV!A$12),ETAPP!A$1:A$32,0))&amp;INDEX(ETAPP!B$1:B$32,MATCH(COUNTIF(P50:AB50,PIV!A$13),ETAPP!A$1:A$32,0))&amp;INDEX(ETAPP!B$1:B$32,MATCH(COUNTIF(P50:AB50,PIV!A$14),ETAPP!A$1:A$32,0))&amp;INDEX(ETAPP!B$1:B$32,MATCH(COUNTIF(P50:AB50,PIV!A$15),ETAPP!A$1:A$32,0))&amp;INDEX(ETAPP!B$1:B$32,MATCH(COUNTIF(P50:AB50,PIV!A$16),ETAPP!A$1:A$32,0))&amp;INDEX(ETAPP!B$1:B$32,MATCH(COUNTIF(P50:AB50,PIV!A$17),ETAPP!A$1:A$32,0))&amp;INDEX(ETAPP!B$1:B$32,MATCH(COUNTIF(P50:AB50,PIV!A$18),ETAPP!A$1:A$32,0))&amp;INDEX(ETAPP!B$1:B$32,MATCH(COUNTIF(P50:AB50,PIV!A$19),ETAPP!A$1:A$32,0))</f>
        <v>000000A00000000000G</v>
      </c>
      <c r="K50" s="233" t="str">
        <f t="shared" ca="1" si="22"/>
        <v>020,0-000000A00000000000G</v>
      </c>
      <c r="L50" s="234">
        <f t="shared" ca="1" si="23"/>
        <v>45</v>
      </c>
      <c r="M50" s="234">
        <f t="shared" si="24"/>
        <v>34</v>
      </c>
      <c r="N50" s="233" t="str">
        <f t="shared" ca="1" si="25"/>
        <v>020,0-000000A00000000000G-034</v>
      </c>
      <c r="O50" s="235">
        <f t="shared" ca="1" si="26"/>
        <v>13</v>
      </c>
      <c r="P50" s="236">
        <f>IFERROR(INDEX('1'!C$300:C$400,MATCH("*"&amp;F50&amp;"*",'1'!B$300:B$400,0)),"  ")</f>
        <v>20</v>
      </c>
      <c r="Q50" s="237" t="str">
        <f>IFERROR(INDEX('2'!C$300:C$400,MATCH("*"&amp;F50&amp;"*",'2'!B$300:B$400,0)),"  ")</f>
        <v xml:space="preserve">  </v>
      </c>
      <c r="R50" s="237" t="str">
        <f>IFERROR(INDEX('3'!C$300:C$400,MATCH("*"&amp;F50&amp;"*",'3'!B$300:B$400,0)),"  ")</f>
        <v xml:space="preserve">  </v>
      </c>
      <c r="S50" s="237" t="str">
        <f>IFERROR(INDEX('4'!C$300:C$400,MATCH("*"&amp;F50&amp;"*",'4'!B$300:B$400,0)),"  ")</f>
        <v xml:space="preserve">  </v>
      </c>
      <c r="T50" s="237" t="str">
        <f>IFERROR(INDEX('5'!C$300:C$400,MATCH("*"&amp;F50&amp;"*",'5'!B$300:B$400,0)),"  ")</f>
        <v xml:space="preserve">  </v>
      </c>
      <c r="U50" s="237" t="str">
        <f>IFERROR(INDEX('6'!C$300:C$400,MATCH("*"&amp;F50&amp;"*",'6'!B$300:B$400,0)),"  ")</f>
        <v xml:space="preserve">  </v>
      </c>
      <c r="V50" s="237" t="str">
        <f>IFERROR(INDEX('7'!C$300:C$400,MATCH("*"&amp;F50&amp;"*",'7'!B$300:B$400,0)),"  ")</f>
        <v xml:space="preserve">  </v>
      </c>
      <c r="W50" s="237" t="str">
        <f ca="1">IFERROR(INDEX('8'!C$300:C$400,MATCH("*"&amp;F50&amp;"*",'8'!B$300:B$400,0)),"  ")</f>
        <v xml:space="preserve">  </v>
      </c>
      <c r="X50" s="237" t="str">
        <f>IFERROR(INDEX('9'!C$300:C$400,MATCH("*"&amp;F50&amp;"*",'9'!B$300:B$400,0)),"  ")</f>
        <v xml:space="preserve">  </v>
      </c>
      <c r="Y50" s="237" t="str">
        <f>IFERROR(INDEX('10'!C$300:C$400,MATCH("*"&amp;F50&amp;"*",'10'!B$300:B$400,0)),"  ")</f>
        <v xml:space="preserve">  </v>
      </c>
      <c r="Z50" s="236" t="str">
        <f>IFERROR(INDEX('11'!C$300:C$400,MATCH("*"&amp;F50&amp;"*",'11'!B$300:B$400,0)),"  ")</f>
        <v xml:space="preserve">  </v>
      </c>
      <c r="AA50" s="237" t="str">
        <f>IFERROR(INDEX('12'!C$300:C$400,MATCH("*"&amp;F50&amp;"*",'12'!B$300:B$400,0)),"  ")</f>
        <v xml:space="preserve">  </v>
      </c>
      <c r="AB50" s="237" t="str">
        <f>IFERROR(INDEX('13'!C$300:C$400,MATCH("*"&amp;F50&amp;"*",'13'!B$300:B$400,0)),"  ")</f>
        <v xml:space="preserve">  </v>
      </c>
      <c r="AC50" s="239">
        <f t="shared" ca="1" si="27"/>
        <v>1</v>
      </c>
      <c r="AD50" s="239">
        <f t="shared" ca="1" si="28"/>
        <v>0</v>
      </c>
      <c r="AE50" s="239">
        <f t="shared" ca="1" si="29"/>
        <v>0</v>
      </c>
      <c r="AF50" s="240">
        <f t="shared" si="30"/>
        <v>2.9999999999999997E-4</v>
      </c>
      <c r="AG50" s="240">
        <f t="shared" si="31"/>
        <v>2.0000000000000001E-4</v>
      </c>
      <c r="AH50" s="240">
        <f t="shared" ca="1" si="32"/>
        <v>5.9999999999999995E-4</v>
      </c>
      <c r="AI50" s="240" t="e">
        <f t="shared" ca="1" si="33"/>
        <v>#VALUE!</v>
      </c>
      <c r="AJ50" s="171"/>
    </row>
    <row r="51" spans="1:36" x14ac:dyDescent="0.2">
      <c r="A51" s="225">
        <f t="shared" ca="1" si="17"/>
        <v>6</v>
      </c>
      <c r="B51" s="226">
        <f t="shared" ca="1" si="18"/>
        <v>45</v>
      </c>
      <c r="C51" s="227" t="str">
        <f t="shared" si="19"/>
        <v/>
      </c>
      <c r="D51" s="228" t="str">
        <f t="shared" si="20"/>
        <v/>
      </c>
      <c r="E51" s="229">
        <f t="shared" ca="1" si="21"/>
        <v>40</v>
      </c>
      <c r="F51" s="245" t="s">
        <v>461</v>
      </c>
      <c r="G51" s="230" t="s">
        <v>119</v>
      </c>
      <c r="H51" s="231"/>
      <c r="I51" s="232">
        <f t="array" aca="1" ref="I51" ca="1">(IF(COUNT(P51,R51,Y51,AA51)&lt;3,SUM(P51,R51,Y51,AA51),SUM(LARGE((P51,R51,Y51,AA51),{1;2;3}))))+(IF(COUNT(Q51,S51,T51,X51)&lt;3,SUM(Q51,S51,T51,X51),SUM(LARGE((Q51,S51,T51,X51),{1;2;3}))))+(IF(COUNT(U51,V51,W51,Z51,AB51)&lt;3,SUM(U51,V51,W51,Z51,AB51),SUM(LARGE((U51,V51,W51,Z51,AB51),{1;2;3}))))</f>
        <v>20</v>
      </c>
      <c r="J51" s="233" t="str">
        <f ca="1">INDEX(ETAPP!B$1:B$32,MATCH(COUNTIF(P51:AB51,PIV!A$1),ETAPP!A$1:A$32,0))&amp;INDEX(ETAPP!B$1:B$32,MATCH(COUNTIF(P51:AB51,PIV!A$2),ETAPP!A$1:A$32,0))&amp;INDEX(ETAPP!B$1:B$32,MATCH(COUNTIF(P51:AB51,PIV!A$3),ETAPP!A$1:A$32,0))&amp;INDEX(ETAPP!B$1:B$32,MATCH(COUNTIF(P51:AB51,PIV!A$4),ETAPP!A$1:A$32,0))&amp;INDEX(ETAPP!B$1:B$32,MATCH(COUNTIF(P51:AB51,PIV!A$5),ETAPP!A$1:A$32,0))&amp;INDEX(ETAPP!B$1:B$32,MATCH(COUNTIF(P51:AB51,PIV!A$6),ETAPP!A$1:A$32,0))&amp;INDEX(ETAPP!B$1:B$32,MATCH(COUNTIF(P51:AB51,PIV!A$7),ETAPP!A$1:A$32,0))&amp;INDEX(ETAPP!B$1:B$32,MATCH(COUNTIF(P51:AB51,PIV!A$8),ETAPP!A$1:A$32,0))&amp;INDEX(ETAPP!B$1:B$32,MATCH(COUNTIF(P51:AB51,PIV!A$9),ETAPP!A$1:A$32,0))&amp;INDEX(ETAPP!B$1:B$32,MATCH(COUNTIF(P51:AB51,PIV!A$10),ETAPP!A$1:A$32,0))&amp;INDEX(ETAPP!B$1:B$32,MATCH(COUNTIF(P51:AB51,PIV!A$11),ETAPP!A$1:A$32,0))&amp;INDEX(ETAPP!B$1:B$32,MATCH(COUNTIF(P51:AB51,PIV!A$12),ETAPP!A$1:A$32,0))&amp;INDEX(ETAPP!B$1:B$32,MATCH(COUNTIF(P51:AB51,PIV!A$13),ETAPP!A$1:A$32,0))&amp;INDEX(ETAPP!B$1:B$32,MATCH(COUNTIF(P51:AB51,PIV!A$14),ETAPP!A$1:A$32,0))&amp;INDEX(ETAPP!B$1:B$32,MATCH(COUNTIF(P51:AB51,PIV!A$15),ETAPP!A$1:A$32,0))&amp;INDEX(ETAPP!B$1:B$32,MATCH(COUNTIF(P51:AB51,PIV!A$16),ETAPP!A$1:A$32,0))&amp;INDEX(ETAPP!B$1:B$32,MATCH(COUNTIF(P51:AB51,PIV!A$17),ETAPP!A$1:A$32,0))&amp;INDEX(ETAPP!B$1:B$32,MATCH(COUNTIF(P51:AB51,PIV!A$18),ETAPP!A$1:A$32,0))&amp;INDEX(ETAPP!B$1:B$32,MATCH(COUNTIF(P51:AB51,PIV!A$19),ETAPP!A$1:A$32,0))</f>
        <v>000000A00000000000G</v>
      </c>
      <c r="K51" s="233" t="str">
        <f t="shared" ca="1" si="22"/>
        <v>020,0-000000A00000000000G</v>
      </c>
      <c r="L51" s="234">
        <f t="shared" ca="1" si="23"/>
        <v>45</v>
      </c>
      <c r="M51" s="234">
        <f t="shared" si="24"/>
        <v>24</v>
      </c>
      <c r="N51" s="233" t="str">
        <f t="shared" ca="1" si="25"/>
        <v>020,0-000000A00000000000G-024</v>
      </c>
      <c r="O51" s="235">
        <f t="shared" ca="1" si="26"/>
        <v>12</v>
      </c>
      <c r="P51" s="236" t="str">
        <f>IFERROR(INDEX('1'!C$300:C$400,MATCH("*"&amp;F51&amp;"*",'1'!B$300:B$400,0)),"  ")</f>
        <v xml:space="preserve">  </v>
      </c>
      <c r="Q51" s="237" t="str">
        <f>IFERROR(INDEX('2'!C$300:C$400,MATCH("*"&amp;F51&amp;"*",'2'!B$300:B$400,0)),"  ")</f>
        <v xml:space="preserve">  </v>
      </c>
      <c r="R51" s="237">
        <f>IFERROR(INDEX('3'!C$300:C$400,MATCH("*"&amp;F51&amp;"*",'3'!B$300:B$400,0)),"  ")</f>
        <v>20</v>
      </c>
      <c r="S51" s="237" t="str">
        <f>IFERROR(INDEX('4'!C$300:C$400,MATCH("*"&amp;F51&amp;"*",'4'!B$300:B$400,0)),"  ")</f>
        <v xml:space="preserve">  </v>
      </c>
      <c r="T51" s="237" t="str">
        <f>IFERROR(INDEX('5'!C$300:C$400,MATCH("*"&amp;F51&amp;"*",'5'!B$300:B$400,0)),"  ")</f>
        <v xml:space="preserve">  </v>
      </c>
      <c r="U51" s="237" t="str">
        <f>IFERROR(INDEX('6'!C$300:C$400,MATCH("*"&amp;F51&amp;"*",'6'!B$300:B$400,0)),"  ")</f>
        <v xml:space="preserve">  </v>
      </c>
      <c r="V51" s="237" t="str">
        <f>IFERROR(INDEX('7'!C$300:C$400,MATCH("*"&amp;F51&amp;"*",'7'!B$300:B$400,0)),"  ")</f>
        <v xml:space="preserve">  </v>
      </c>
      <c r="W51" s="237" t="str">
        <f ca="1">IFERROR(INDEX('8'!C$300:C$400,MATCH("*"&amp;F51&amp;"*",'8'!B$300:B$400,0)),"  ")</f>
        <v xml:space="preserve">  </v>
      </c>
      <c r="X51" s="237" t="str">
        <f>IFERROR(INDEX('9'!C$300:C$400,MATCH("*"&amp;F51&amp;"*",'9'!B$300:B$400,0)),"  ")</f>
        <v xml:space="preserve">  </v>
      </c>
      <c r="Y51" s="237" t="str">
        <f>IFERROR(INDEX('10'!C$300:C$400,MATCH("*"&amp;F51&amp;"*",'10'!B$300:B$400,0)),"  ")</f>
        <v xml:space="preserve">  </v>
      </c>
      <c r="Z51" s="236" t="str">
        <f>IFERROR(INDEX('11'!C$300:C$400,MATCH("*"&amp;F51&amp;"*",'11'!B$300:B$400,0)),"  ")</f>
        <v xml:space="preserve">  </v>
      </c>
      <c r="AA51" s="237" t="str">
        <f>IFERROR(INDEX('12'!C$300:C$400,MATCH("*"&amp;F51&amp;"*",'12'!B$300:B$400,0)),"  ")</f>
        <v xml:space="preserve">  </v>
      </c>
      <c r="AB51" s="237" t="str">
        <f>IFERROR(INDEX('13'!C$300:C$400,MATCH("*"&amp;F51&amp;"*",'13'!B$300:B$400,0)),"  ")</f>
        <v xml:space="preserve">  </v>
      </c>
      <c r="AC51" s="239">
        <f t="shared" ca="1" si="27"/>
        <v>1</v>
      </c>
      <c r="AD51" s="239">
        <f t="shared" ca="1" si="28"/>
        <v>0</v>
      </c>
      <c r="AE51" s="239">
        <f t="shared" ca="1" si="29"/>
        <v>0</v>
      </c>
      <c r="AF51" s="240">
        <f t="shared" si="30"/>
        <v>1E-4</v>
      </c>
      <c r="AG51" s="240">
        <f t="shared" si="31"/>
        <v>2.0000000000000001E-4</v>
      </c>
      <c r="AH51" s="240">
        <f t="shared" ca="1" si="32"/>
        <v>5.9999999999999995E-4</v>
      </c>
      <c r="AI51" s="240" t="e">
        <f t="shared" ca="1" si="33"/>
        <v>#VALUE!</v>
      </c>
      <c r="AJ51" s="171"/>
    </row>
    <row r="52" spans="1:36" x14ac:dyDescent="0.2">
      <c r="A52" s="225" t="str">
        <f t="shared" si="17"/>
        <v/>
      </c>
      <c r="B52" s="226" t="str">
        <f t="shared" si="18"/>
        <v/>
      </c>
      <c r="C52" s="227" t="str">
        <f t="shared" si="19"/>
        <v/>
      </c>
      <c r="D52" s="228" t="str">
        <f t="shared" si="20"/>
        <v/>
      </c>
      <c r="E52" s="229">
        <f t="shared" ca="1" si="21"/>
        <v>40</v>
      </c>
      <c r="F52" s="245" t="s">
        <v>462</v>
      </c>
      <c r="G52" s="211"/>
      <c r="H52" s="241"/>
      <c r="I52" s="232">
        <f t="array" aca="1" ref="I52" ca="1">(IF(COUNT(P52,R52,Y52,AA52)&lt;3,SUM(P52,R52,Y52,AA52),SUM(LARGE((P52,R52,Y52,AA52),{1;2;3}))))+(IF(COUNT(Q52,S52,T52,X52)&lt;3,SUM(Q52,S52,T52,X52),SUM(LARGE((Q52,S52,T52,X52),{1;2;3}))))+(IF(COUNT(U52,V52,W52,Z52,AB52)&lt;3,SUM(U52,V52,W52,Z52,AB52),SUM(LARGE((U52,V52,W52,Z52,AB52),{1;2;3}))))</f>
        <v>20</v>
      </c>
      <c r="J52" s="233" t="str">
        <f ca="1">INDEX(ETAPP!B$1:B$32,MATCH(COUNTIF(P52:AB52,PIV!A$1),ETAPP!A$1:A$32,0))&amp;INDEX(ETAPP!B$1:B$32,MATCH(COUNTIF(P52:AB52,PIV!A$2),ETAPP!A$1:A$32,0))&amp;INDEX(ETAPP!B$1:B$32,MATCH(COUNTIF(P52:AB52,PIV!A$3),ETAPP!A$1:A$32,0))&amp;INDEX(ETAPP!B$1:B$32,MATCH(COUNTIF(P52:AB52,PIV!A$4),ETAPP!A$1:A$32,0))&amp;INDEX(ETAPP!B$1:B$32,MATCH(COUNTIF(P52:AB52,PIV!A$5),ETAPP!A$1:A$32,0))&amp;INDEX(ETAPP!B$1:B$32,MATCH(COUNTIF(P52:AB52,PIV!A$6),ETAPP!A$1:A$32,0))&amp;INDEX(ETAPP!B$1:B$32,MATCH(COUNTIF(P52:AB52,PIV!A$7),ETAPP!A$1:A$32,0))&amp;INDEX(ETAPP!B$1:B$32,MATCH(COUNTIF(P52:AB52,PIV!A$8),ETAPP!A$1:A$32,0))&amp;INDEX(ETAPP!B$1:B$32,MATCH(COUNTIF(P52:AB52,PIV!A$9),ETAPP!A$1:A$32,0))&amp;INDEX(ETAPP!B$1:B$32,MATCH(COUNTIF(P52:AB52,PIV!A$10),ETAPP!A$1:A$32,0))&amp;INDEX(ETAPP!B$1:B$32,MATCH(COUNTIF(P52:AB52,PIV!A$11),ETAPP!A$1:A$32,0))&amp;INDEX(ETAPP!B$1:B$32,MATCH(COUNTIF(P52:AB52,PIV!A$12),ETAPP!A$1:A$32,0))&amp;INDEX(ETAPP!B$1:B$32,MATCH(COUNTIF(P52:AB52,PIV!A$13),ETAPP!A$1:A$32,0))&amp;INDEX(ETAPP!B$1:B$32,MATCH(COUNTIF(P52:AB52,PIV!A$14),ETAPP!A$1:A$32,0))&amp;INDEX(ETAPP!B$1:B$32,MATCH(COUNTIF(P52:AB52,PIV!A$15),ETAPP!A$1:A$32,0))&amp;INDEX(ETAPP!B$1:B$32,MATCH(COUNTIF(P52:AB52,PIV!A$16),ETAPP!A$1:A$32,0))&amp;INDEX(ETAPP!B$1:B$32,MATCH(COUNTIF(P52:AB52,PIV!A$17),ETAPP!A$1:A$32,0))&amp;INDEX(ETAPP!B$1:B$32,MATCH(COUNTIF(P52:AB52,PIV!A$18),ETAPP!A$1:A$32,0))&amp;INDEX(ETAPP!B$1:B$32,MATCH(COUNTIF(P52:AB52,PIV!A$19),ETAPP!A$1:A$32,0))</f>
        <v>000000A00000000000G</v>
      </c>
      <c r="K52" s="233" t="str">
        <f t="shared" ca="1" si="22"/>
        <v>020,0-000000A00000000000G</v>
      </c>
      <c r="L52" s="234">
        <f t="shared" ca="1" si="23"/>
        <v>45</v>
      </c>
      <c r="M52" s="234">
        <f t="shared" si="24"/>
        <v>16</v>
      </c>
      <c r="N52" s="233" t="str">
        <f t="shared" ca="1" si="25"/>
        <v>020,0-000000A00000000000G-016</v>
      </c>
      <c r="O52" s="235">
        <f t="shared" ca="1" si="26"/>
        <v>11</v>
      </c>
      <c r="P52" s="236" t="str">
        <f>IFERROR(INDEX('1'!C$300:C$400,MATCH("*"&amp;F52&amp;"*",'1'!B$300:B$400,0)),"  ")</f>
        <v xml:space="preserve">  </v>
      </c>
      <c r="Q52" s="237" t="str">
        <f>IFERROR(INDEX('2'!C$300:C$400,MATCH("*"&amp;F52&amp;"*",'2'!B$300:B$400,0)),"  ")</f>
        <v xml:space="preserve">  </v>
      </c>
      <c r="R52" s="237">
        <f>IFERROR(INDEX('3'!C$300:C$400,MATCH("*"&amp;F52&amp;"*",'3'!B$300:B$400,0)),"  ")</f>
        <v>20</v>
      </c>
      <c r="S52" s="237" t="str">
        <f>IFERROR(INDEX('4'!C$300:C$400,MATCH("*"&amp;F52&amp;"*",'4'!B$300:B$400,0)),"  ")</f>
        <v xml:space="preserve">  </v>
      </c>
      <c r="T52" s="237" t="str">
        <f>IFERROR(INDEX('5'!C$300:C$400,MATCH("*"&amp;F52&amp;"*",'5'!B$300:B$400,0)),"  ")</f>
        <v xml:space="preserve">  </v>
      </c>
      <c r="U52" s="237" t="str">
        <f>IFERROR(INDEX('6'!C$300:C$400,MATCH("*"&amp;F52&amp;"*",'6'!B$300:B$400,0)),"  ")</f>
        <v xml:space="preserve">  </v>
      </c>
      <c r="V52" s="237" t="str">
        <f>IFERROR(INDEX('7'!C$300:C$400,MATCH("*"&amp;F52&amp;"*",'7'!B$300:B$400,0)),"  ")</f>
        <v xml:space="preserve">  </v>
      </c>
      <c r="W52" s="237" t="str">
        <f ca="1">IFERROR(INDEX('8'!C$300:C$400,MATCH("*"&amp;F52&amp;"*",'8'!B$300:B$400,0)),"  ")</f>
        <v xml:space="preserve">  </v>
      </c>
      <c r="X52" s="237" t="str">
        <f>IFERROR(INDEX('9'!C$300:C$400,MATCH("*"&amp;F52&amp;"*",'9'!B$300:B$400,0)),"  ")</f>
        <v xml:space="preserve">  </v>
      </c>
      <c r="Y52" s="237" t="str">
        <f>IFERROR(INDEX('10'!C$300:C$400,MATCH("*"&amp;F52&amp;"*",'10'!B$300:B$400,0)),"  ")</f>
        <v xml:space="preserve">  </v>
      </c>
      <c r="Z52" s="236" t="str">
        <f>IFERROR(INDEX('11'!C$300:C$400,MATCH("*"&amp;F52&amp;"*",'11'!B$300:B$400,0)),"  ")</f>
        <v xml:space="preserve">  </v>
      </c>
      <c r="AA52" s="237" t="str">
        <f>IFERROR(INDEX('12'!C$300:C$400,MATCH("*"&amp;F52&amp;"*",'12'!B$300:B$400,0)),"  ")</f>
        <v xml:space="preserve">  </v>
      </c>
      <c r="AB52" s="237" t="str">
        <f>IFERROR(INDEX('13'!C$300:C$400,MATCH("*"&amp;F52&amp;"*",'13'!B$300:B$400,0)),"  ")</f>
        <v xml:space="preserve">  </v>
      </c>
      <c r="AC52" s="239">
        <f t="shared" ca="1" si="27"/>
        <v>1</v>
      </c>
      <c r="AD52" s="239">
        <f t="shared" ca="1" si="28"/>
        <v>0</v>
      </c>
      <c r="AE52" s="239">
        <f t="shared" ca="1" si="29"/>
        <v>0</v>
      </c>
      <c r="AF52" s="240">
        <f t="shared" si="30"/>
        <v>1E-4</v>
      </c>
      <c r="AG52" s="240">
        <f t="shared" si="31"/>
        <v>2.0000000000000001E-4</v>
      </c>
      <c r="AH52" s="240">
        <f t="shared" ca="1" si="32"/>
        <v>5.9999999999999995E-4</v>
      </c>
      <c r="AI52" s="240" t="e">
        <f t="shared" ca="1" si="33"/>
        <v>#VALUE!</v>
      </c>
      <c r="AJ52" s="171"/>
    </row>
    <row r="53" spans="1:36" x14ac:dyDescent="0.2">
      <c r="A53" s="225">
        <f t="shared" ca="1" si="17"/>
        <v>8</v>
      </c>
      <c r="B53" s="226">
        <f t="shared" ca="1" si="18"/>
        <v>46</v>
      </c>
      <c r="C53" s="227" t="str">
        <f t="shared" si="19"/>
        <v/>
      </c>
      <c r="D53" s="228" t="str">
        <f t="shared" si="20"/>
        <v/>
      </c>
      <c r="E53" s="229">
        <f t="shared" ca="1" si="21"/>
        <v>46</v>
      </c>
      <c r="F53" s="245" t="s">
        <v>488</v>
      </c>
      <c r="G53" s="211" t="s">
        <v>119</v>
      </c>
      <c r="H53" s="241"/>
      <c r="I53" s="232">
        <f t="array" aca="1" ref="I53" ca="1">(IF(COUNT(P53,R53,Y53,AA53)&lt;3,SUM(P53,R53,Y53,AA53),SUM(LARGE((P53,R53,Y53,AA53),{1;2;3}))))+(IF(COUNT(Q53,S53,T53,X53)&lt;3,SUM(Q53,S53,T53,X53),SUM(LARGE((Q53,S53,T53,X53),{1;2;3}))))+(IF(COUNT(U53,V53,W53,Z53,AB53)&lt;3,SUM(U53,V53,W53,Z53,AB53),SUM(LARGE((U53,V53,W53,Z53,AB53),{1;2;3}))))</f>
        <v>19</v>
      </c>
      <c r="J53" s="233" t="str">
        <f ca="1">INDEX(ETAPP!B$1:B$32,MATCH(COUNTIF(P53:AB53,PIV!A$1),ETAPP!A$1:A$32,0))&amp;INDEX(ETAPP!B$1:B$32,MATCH(COUNTIF(P53:AB53,PIV!A$2),ETAPP!A$1:A$32,0))&amp;INDEX(ETAPP!B$1:B$32,MATCH(COUNTIF(P53:AB53,PIV!A$3),ETAPP!A$1:A$32,0))&amp;INDEX(ETAPP!B$1:B$32,MATCH(COUNTIF(P53:AB53,PIV!A$4),ETAPP!A$1:A$32,0))&amp;INDEX(ETAPP!B$1:B$32,MATCH(COUNTIF(P53:AB53,PIV!A$5),ETAPP!A$1:A$32,0))&amp;INDEX(ETAPP!B$1:B$32,MATCH(COUNTIF(P53:AB53,PIV!A$6),ETAPP!A$1:A$32,0))&amp;INDEX(ETAPP!B$1:B$32,MATCH(COUNTIF(P53:AB53,PIV!A$7),ETAPP!A$1:A$32,0))&amp;INDEX(ETAPP!B$1:B$32,MATCH(COUNTIF(P53:AB53,PIV!A$8),ETAPP!A$1:A$32,0))&amp;INDEX(ETAPP!B$1:B$32,MATCH(COUNTIF(P53:AB53,PIV!A$9),ETAPP!A$1:A$32,0))&amp;INDEX(ETAPP!B$1:B$32,MATCH(COUNTIF(P53:AB53,PIV!A$10),ETAPP!A$1:A$32,0))&amp;INDEX(ETAPP!B$1:B$32,MATCH(COUNTIF(P53:AB53,PIV!A$11),ETAPP!A$1:A$32,0))&amp;INDEX(ETAPP!B$1:B$32,MATCH(COUNTIF(P53:AB53,PIV!A$12),ETAPP!A$1:A$32,0))&amp;INDEX(ETAPP!B$1:B$32,MATCH(COUNTIF(P53:AB53,PIV!A$13),ETAPP!A$1:A$32,0))&amp;INDEX(ETAPP!B$1:B$32,MATCH(COUNTIF(P53:AB53,PIV!A$14),ETAPP!A$1:A$32,0))&amp;INDEX(ETAPP!B$1:B$32,MATCH(COUNTIF(P53:AB53,PIV!A$15),ETAPP!A$1:A$32,0))&amp;INDEX(ETAPP!B$1:B$32,MATCH(COUNTIF(P53:AB53,PIV!A$16),ETAPP!A$1:A$32,0))&amp;INDEX(ETAPP!B$1:B$32,MATCH(COUNTIF(P53:AB53,PIV!A$17),ETAPP!A$1:A$32,0))&amp;INDEX(ETAPP!B$1:B$32,MATCH(COUNTIF(P53:AB53,PIV!A$18),ETAPP!A$1:A$32,0))&amp;INDEX(ETAPP!B$1:B$32,MATCH(COUNTIF(P53:AB53,PIV!A$19),ETAPP!A$1:A$32,0))</f>
        <v>0000000A00000000A0F</v>
      </c>
      <c r="K53" s="233" t="str">
        <f t="shared" ca="1" si="22"/>
        <v>019,0-0000000A00000000A0F</v>
      </c>
      <c r="L53" s="234">
        <f t="shared" ca="1" si="23"/>
        <v>46</v>
      </c>
      <c r="M53" s="234">
        <f t="shared" si="24"/>
        <v>14</v>
      </c>
      <c r="N53" s="233" t="str">
        <f t="shared" ca="1" si="25"/>
        <v>019,0-0000000A00000000A0F-014</v>
      </c>
      <c r="O53" s="235">
        <f t="shared" ca="1" si="26"/>
        <v>10</v>
      </c>
      <c r="P53" s="236" t="str">
        <f>IFERROR(INDEX('1'!C$300:C$400,MATCH("*"&amp;F53&amp;"*",'1'!B$300:B$400,0)),"  ")</f>
        <v xml:space="preserve">  </v>
      </c>
      <c r="Q53" s="237" t="str">
        <f>IFERROR(INDEX('2'!C$300:C$400,MATCH("*"&amp;F53&amp;"*",'2'!B$300:B$400,0)),"  ")</f>
        <v xml:space="preserve">  </v>
      </c>
      <c r="R53" s="237" t="str">
        <f>IFERROR(INDEX('3'!C$300:C$400,MATCH("*"&amp;F53&amp;"*",'3'!B$300:B$400,0)),"  ")</f>
        <v xml:space="preserve">  </v>
      </c>
      <c r="S53" s="237" t="str">
        <f>IFERROR(INDEX('4'!C$300:C$400,MATCH("*"&amp;F53&amp;"*",'4'!B$300:B$400,0)),"  ")</f>
        <v xml:space="preserve">  </v>
      </c>
      <c r="T53" s="237" t="str">
        <f>IFERROR(INDEX('5'!C$300:C$400,MATCH("*"&amp;F53&amp;"*",'5'!B$300:B$400,0)),"  ")</f>
        <v xml:space="preserve">  </v>
      </c>
      <c r="U53" s="237" t="str">
        <f>IFERROR(INDEX('6'!C$300:C$400,MATCH("*"&amp;F53&amp;"*",'6'!B$300:B$400,0)),"  ")</f>
        <v xml:space="preserve">  </v>
      </c>
      <c r="V53" s="237" t="str">
        <f>IFERROR(INDEX('7'!C$300:C$400,MATCH("*"&amp;F53&amp;"*",'7'!B$300:B$400,0)),"  ")</f>
        <v xml:space="preserve">  </v>
      </c>
      <c r="W53" s="237" t="str">
        <f ca="1">IFERROR(INDEX('8'!C$300:C$400,MATCH("*"&amp;F53&amp;"*",'8'!B$300:B$400,0)),"  ")</f>
        <v xml:space="preserve">  </v>
      </c>
      <c r="X53" s="237" t="str">
        <f>IFERROR(INDEX('9'!C$300:C$400,MATCH("*"&amp;F53&amp;"*",'9'!B$300:B$400,0)),"  ")</f>
        <v xml:space="preserve">  </v>
      </c>
      <c r="Y53" s="237" t="str">
        <f>IFERROR(INDEX('10'!C$300:C$400,MATCH("*"&amp;F53&amp;"*",'10'!B$300:B$400,0)),"  ")</f>
        <v xml:space="preserve">  </v>
      </c>
      <c r="Z53" s="236" t="str">
        <f>IFERROR(INDEX('11'!C$300:C$400,MATCH("*"&amp;F53&amp;"*",'11'!B$300:B$400,0)),"  ")</f>
        <v xml:space="preserve">  </v>
      </c>
      <c r="AA53" s="237">
        <f>IFERROR(INDEX('12'!C$300:C$400,MATCH("*"&amp;F53&amp;"*",'12'!B$300:B$400,0)),"  ")</f>
        <v>18</v>
      </c>
      <c r="AB53" s="237">
        <f>IFERROR(INDEX('13'!C$300:C$400,MATCH("*"&amp;F53&amp;"*",'13'!B$300:B$400,0)),"  ")</f>
        <v>1</v>
      </c>
      <c r="AC53" s="239">
        <f t="shared" ca="1" si="27"/>
        <v>2</v>
      </c>
      <c r="AD53" s="239">
        <f t="shared" ca="1" si="28"/>
        <v>0</v>
      </c>
      <c r="AE53" s="239">
        <f t="shared" ca="1" si="29"/>
        <v>0</v>
      </c>
      <c r="AF53" s="240">
        <f t="shared" si="30"/>
        <v>1E-4</v>
      </c>
      <c r="AG53" s="240">
        <f t="shared" si="31"/>
        <v>2.0000000000000001E-4</v>
      </c>
      <c r="AH53" s="240">
        <f t="shared" ca="1" si="32"/>
        <v>5.9999999999999995E-4</v>
      </c>
      <c r="AI53" s="240" t="e">
        <f t="shared" ca="1" si="33"/>
        <v>#VALUE!</v>
      </c>
      <c r="AJ53" s="171"/>
    </row>
    <row r="54" spans="1:36" x14ac:dyDescent="0.2">
      <c r="A54" s="225" t="str">
        <f t="shared" si="17"/>
        <v/>
      </c>
      <c r="B54" s="226" t="str">
        <f t="shared" si="18"/>
        <v/>
      </c>
      <c r="C54" s="227" t="str">
        <f t="shared" si="19"/>
        <v/>
      </c>
      <c r="D54" s="228" t="str">
        <f t="shared" si="20"/>
        <v/>
      </c>
      <c r="E54" s="229">
        <f t="shared" ca="1" si="21"/>
        <v>47</v>
      </c>
      <c r="F54" s="191" t="s">
        <v>130</v>
      </c>
      <c r="G54" s="230"/>
      <c r="H54" s="231"/>
      <c r="I54" s="232">
        <f t="array" aca="1" ref="I54" ca="1">(IF(COUNT(P54,R54,Y54,AA54)&lt;3,SUM(P54,R54,Y54,AA54),SUM(LARGE((P54,R54,Y54,AA54),{1;2;3}))))+(IF(COUNT(Q54,S54,T54,X54)&lt;3,SUM(Q54,S54,T54,X54),SUM(LARGE((Q54,S54,T54,X54),{1;2;3}))))+(IF(COUNT(U54,V54,W54,Z54,AB54)&lt;3,SUM(U54,V54,W54,Z54,AB54),SUM(LARGE((U54,V54,W54,Z54,AB54),{1;2;3}))))</f>
        <v>18</v>
      </c>
      <c r="J54" s="233" t="str">
        <f ca="1">INDEX(ETAPP!B$1:B$32,MATCH(COUNTIF(P54:AB54,PIV!A$1),ETAPP!A$1:A$32,0))&amp;INDEX(ETAPP!B$1:B$32,MATCH(COUNTIF(P54:AB54,PIV!A$2),ETAPP!A$1:A$32,0))&amp;INDEX(ETAPP!B$1:B$32,MATCH(COUNTIF(P54:AB54,PIV!A$3),ETAPP!A$1:A$32,0))&amp;INDEX(ETAPP!B$1:B$32,MATCH(COUNTIF(P54:AB54,PIV!A$4),ETAPP!A$1:A$32,0))&amp;INDEX(ETAPP!B$1:B$32,MATCH(COUNTIF(P54:AB54,PIV!A$5),ETAPP!A$1:A$32,0))&amp;INDEX(ETAPP!B$1:B$32,MATCH(COUNTIF(P54:AB54,PIV!A$6),ETAPP!A$1:A$32,0))&amp;INDEX(ETAPP!B$1:B$32,MATCH(COUNTIF(P54:AB54,PIV!A$7),ETAPP!A$1:A$32,0))&amp;INDEX(ETAPP!B$1:B$32,MATCH(COUNTIF(P54:AB54,PIV!A$8),ETAPP!A$1:A$32,0))&amp;INDEX(ETAPP!B$1:B$32,MATCH(COUNTIF(P54:AB54,PIV!A$9),ETAPP!A$1:A$32,0))&amp;INDEX(ETAPP!B$1:B$32,MATCH(COUNTIF(P54:AB54,PIV!A$10),ETAPP!A$1:A$32,0))&amp;INDEX(ETAPP!B$1:B$32,MATCH(COUNTIF(P54:AB54,PIV!A$11),ETAPP!A$1:A$32,0))&amp;INDEX(ETAPP!B$1:B$32,MATCH(COUNTIF(P54:AB54,PIV!A$12),ETAPP!A$1:A$32,0))&amp;INDEX(ETAPP!B$1:B$32,MATCH(COUNTIF(P54:AB54,PIV!A$13),ETAPP!A$1:A$32,0))&amp;INDEX(ETAPP!B$1:B$32,MATCH(COUNTIF(P54:AB54,PIV!A$14),ETAPP!A$1:A$32,0))&amp;INDEX(ETAPP!B$1:B$32,MATCH(COUNTIF(P54:AB54,PIV!A$15),ETAPP!A$1:A$32,0))&amp;INDEX(ETAPP!B$1:B$32,MATCH(COUNTIF(P54:AB54,PIV!A$16),ETAPP!A$1:A$32,0))&amp;INDEX(ETAPP!B$1:B$32,MATCH(COUNTIF(P54:AB54,PIV!A$17),ETAPP!A$1:A$32,0))&amp;INDEX(ETAPP!B$1:B$32,MATCH(COUNTIF(P54:AB54,PIV!A$18),ETAPP!A$1:A$32,0))&amp;INDEX(ETAPP!B$1:B$32,MATCH(COUNTIF(P54:AB54,PIV!A$19),ETAPP!A$1:A$32,0))</f>
        <v>0000000A0000000000G</v>
      </c>
      <c r="K54" s="233" t="str">
        <f t="shared" ca="1" si="22"/>
        <v>018,0-0000000A0000000000G</v>
      </c>
      <c r="L54" s="234">
        <f t="shared" ca="1" si="23"/>
        <v>47</v>
      </c>
      <c r="M54" s="234">
        <f t="shared" si="24"/>
        <v>33</v>
      </c>
      <c r="N54" s="233" t="str">
        <f t="shared" ca="1" si="25"/>
        <v>018,0-0000000A0000000000G-033</v>
      </c>
      <c r="O54" s="235">
        <f t="shared" ca="1" si="26"/>
        <v>9</v>
      </c>
      <c r="P54" s="236" t="str">
        <f>IFERROR(INDEX('1'!C$300:C$400,MATCH("*"&amp;F54&amp;"*",'1'!B$300:B$400,0)),"  ")</f>
        <v xml:space="preserve">  </v>
      </c>
      <c r="Q54" s="237">
        <f>IFERROR(INDEX('2'!C$300:C$400,MATCH("*"&amp;F54&amp;"*",'2'!B$300:B$400,0)),"  ")</f>
        <v>18</v>
      </c>
      <c r="R54" s="237" t="str">
        <f>IFERROR(INDEX('3'!C$300:C$400,MATCH("*"&amp;F54&amp;"*",'3'!B$300:B$400,0)),"  ")</f>
        <v xml:space="preserve">  </v>
      </c>
      <c r="S54" s="237" t="str">
        <f>IFERROR(INDEX('4'!C$300:C$400,MATCH("*"&amp;F54&amp;"*",'4'!B$300:B$400,0)),"  ")</f>
        <v xml:space="preserve">  </v>
      </c>
      <c r="T54" s="237" t="str">
        <f>IFERROR(INDEX('5'!C$300:C$400,MATCH("*"&amp;F54&amp;"*",'5'!B$300:B$400,0)),"  ")</f>
        <v xml:space="preserve">  </v>
      </c>
      <c r="U54" s="237" t="str">
        <f>IFERROR(INDEX('6'!C$300:C$400,MATCH("*"&amp;F54&amp;"*",'6'!B$300:B$400,0)),"  ")</f>
        <v xml:space="preserve">  </v>
      </c>
      <c r="V54" s="237" t="str">
        <f>IFERROR(INDEX('7'!C$300:C$400,MATCH("*"&amp;F54&amp;"*",'7'!B$300:B$400,0)),"  ")</f>
        <v xml:space="preserve">  </v>
      </c>
      <c r="W54" s="237" t="str">
        <f ca="1">IFERROR(INDEX('8'!C$300:C$400,MATCH("*"&amp;F54&amp;"*",'8'!B$300:B$400,0)),"  ")</f>
        <v xml:space="preserve">  </v>
      </c>
      <c r="X54" s="237" t="str">
        <f>IFERROR(INDEX('9'!C$300:C$400,MATCH("*"&amp;F54&amp;"*",'9'!B$300:B$400,0)),"  ")</f>
        <v xml:space="preserve">  </v>
      </c>
      <c r="Y54" s="237" t="str">
        <f>IFERROR(INDEX('10'!C$300:C$400,MATCH("*"&amp;F54&amp;"*",'10'!B$300:B$400,0)),"  ")</f>
        <v xml:space="preserve">  </v>
      </c>
      <c r="Z54" s="236" t="str">
        <f>IFERROR(INDEX('11'!C$300:C$400,MATCH("*"&amp;F54&amp;"*",'11'!B$300:B$400,0)),"  ")</f>
        <v xml:space="preserve">  </v>
      </c>
      <c r="AA54" s="237" t="str">
        <f>IFERROR(INDEX('12'!C$300:C$400,MATCH("*"&amp;F54&amp;"*",'12'!B$300:B$400,0)),"  ")</f>
        <v xml:space="preserve">  </v>
      </c>
      <c r="AB54" s="237" t="str">
        <f>IFERROR(INDEX('13'!C$300:C$400,MATCH("*"&amp;F54&amp;"*",'13'!B$300:B$400,0)),"  ")</f>
        <v xml:space="preserve">  </v>
      </c>
      <c r="AC54" s="239">
        <f t="shared" ca="1" si="27"/>
        <v>1</v>
      </c>
      <c r="AD54" s="239">
        <f t="shared" ca="1" si="28"/>
        <v>0</v>
      </c>
      <c r="AE54" s="239">
        <f t="shared" ca="1" si="29"/>
        <v>0</v>
      </c>
      <c r="AF54" s="240">
        <f t="shared" si="30"/>
        <v>1E-4</v>
      </c>
      <c r="AG54" s="240">
        <f t="shared" si="31"/>
        <v>4.0000000000000002E-4</v>
      </c>
      <c r="AH54" s="240">
        <f t="shared" ca="1" si="32"/>
        <v>5.9999999999999995E-4</v>
      </c>
      <c r="AI54" s="240" t="e">
        <f t="shared" ca="1" si="33"/>
        <v>#VALUE!</v>
      </c>
      <c r="AJ54" s="171"/>
    </row>
    <row r="55" spans="1:36" x14ac:dyDescent="0.2">
      <c r="A55" s="225">
        <f t="shared" ca="1" si="17"/>
        <v>9</v>
      </c>
      <c r="B55" s="226">
        <f t="shared" ca="1" si="18"/>
        <v>48</v>
      </c>
      <c r="C55" s="227" t="str">
        <f t="shared" si="19"/>
        <v/>
      </c>
      <c r="D55" s="228" t="str">
        <f t="shared" si="20"/>
        <v/>
      </c>
      <c r="E55" s="229">
        <f t="shared" ca="1" si="21"/>
        <v>48</v>
      </c>
      <c r="F55" s="191" t="s">
        <v>154</v>
      </c>
      <c r="G55" s="230" t="s">
        <v>119</v>
      </c>
      <c r="H55" s="231"/>
      <c r="I55" s="232">
        <f t="array" aca="1" ref="I55" ca="1">(IF(COUNT(P55,R55,Y55,AA55)&lt;3,SUM(P55,R55,Y55,AA55),SUM(LARGE((P55,R55,Y55,AA55),{1;2;3}))))+(IF(COUNT(Q55,S55,T55,X55)&lt;3,SUM(Q55,S55,T55,X55),SUM(LARGE((Q55,S55,T55,X55),{1;2;3}))))+(IF(COUNT(U55,V55,W55,Z55,AB55)&lt;3,SUM(U55,V55,W55,Z55,AB55),SUM(LARGE((U55,V55,W55,Z55,AB55),{1;2;3}))))</f>
        <v>18</v>
      </c>
      <c r="J55" s="233" t="str">
        <f ca="1">INDEX(ETAPP!B$1:B$32,MATCH(COUNTIF(P55:AB55,PIV!A$1),ETAPP!A$1:A$32,0))&amp;INDEX(ETAPP!B$1:B$32,MATCH(COUNTIF(P55:AB55,PIV!A$2),ETAPP!A$1:A$32,0))&amp;INDEX(ETAPP!B$1:B$32,MATCH(COUNTIF(P55:AB55,PIV!A$3),ETAPP!A$1:A$32,0))&amp;INDEX(ETAPP!B$1:B$32,MATCH(COUNTIF(P55:AB55,PIV!A$4),ETAPP!A$1:A$32,0))&amp;INDEX(ETAPP!B$1:B$32,MATCH(COUNTIF(P55:AB55,PIV!A$5),ETAPP!A$1:A$32,0))&amp;INDEX(ETAPP!B$1:B$32,MATCH(COUNTIF(P55:AB55,PIV!A$6),ETAPP!A$1:A$32,0))&amp;INDEX(ETAPP!B$1:B$32,MATCH(COUNTIF(P55:AB55,PIV!A$7),ETAPP!A$1:A$32,0))&amp;INDEX(ETAPP!B$1:B$32,MATCH(COUNTIF(P55:AB55,PIV!A$8),ETAPP!A$1:A$32,0))&amp;INDEX(ETAPP!B$1:B$32,MATCH(COUNTIF(P55:AB55,PIV!A$9),ETAPP!A$1:A$32,0))&amp;INDEX(ETAPP!B$1:B$32,MATCH(COUNTIF(P55:AB55,PIV!A$10),ETAPP!A$1:A$32,0))&amp;INDEX(ETAPP!B$1:B$32,MATCH(COUNTIF(P55:AB55,PIV!A$11),ETAPP!A$1:A$32,0))&amp;INDEX(ETAPP!B$1:B$32,MATCH(COUNTIF(P55:AB55,PIV!A$12),ETAPP!A$1:A$32,0))&amp;INDEX(ETAPP!B$1:B$32,MATCH(COUNTIF(P55:AB55,PIV!A$13),ETAPP!A$1:A$32,0))&amp;INDEX(ETAPP!B$1:B$32,MATCH(COUNTIF(P55:AB55,PIV!A$14),ETAPP!A$1:A$32,0))&amp;INDEX(ETAPP!B$1:B$32,MATCH(COUNTIF(P55:AB55,PIV!A$15),ETAPP!A$1:A$32,0))&amp;INDEX(ETAPP!B$1:B$32,MATCH(COUNTIF(P55:AB55,PIV!A$16),ETAPP!A$1:A$32,0))&amp;INDEX(ETAPP!B$1:B$32,MATCH(COUNTIF(P55:AB55,PIV!A$17),ETAPP!A$1:A$32,0))&amp;INDEX(ETAPP!B$1:B$32,MATCH(COUNTIF(P55:AB55,PIV!A$18),ETAPP!A$1:A$32,0))&amp;INDEX(ETAPP!B$1:B$32,MATCH(COUNTIF(P55:AB55,PIV!A$19),ETAPP!A$1:A$32,0))</f>
        <v>00000000000AA00000F</v>
      </c>
      <c r="K55" s="233" t="str">
        <f t="shared" ca="1" si="22"/>
        <v>018,0-00000000000AA00000F</v>
      </c>
      <c r="L55" s="234">
        <f t="shared" ca="1" si="23"/>
        <v>48</v>
      </c>
      <c r="M55" s="234">
        <f t="shared" si="24"/>
        <v>44</v>
      </c>
      <c r="N55" s="233" t="str">
        <f t="shared" ca="1" si="25"/>
        <v>018,0-00000000000AA00000F-044</v>
      </c>
      <c r="O55" s="235">
        <f t="shared" ca="1" si="26"/>
        <v>8</v>
      </c>
      <c r="P55" s="236" t="str">
        <f>IFERROR(INDEX('1'!C$300:C$400,MATCH("*"&amp;F55&amp;"*",'1'!B$300:B$400,0)),"  ")</f>
        <v xml:space="preserve">  </v>
      </c>
      <c r="Q55" s="237" t="str">
        <f>IFERROR(INDEX('2'!C$300:C$400,MATCH("*"&amp;F55&amp;"*",'2'!B$300:B$400,0)),"  ")</f>
        <v xml:space="preserve">  </v>
      </c>
      <c r="R55" s="237" t="str">
        <f>IFERROR(INDEX('3'!C$300:C$400,MATCH("*"&amp;F55&amp;"*",'3'!B$300:B$400,0)),"  ")</f>
        <v xml:space="preserve">  </v>
      </c>
      <c r="S55" s="237">
        <f>IFERROR(INDEX('4'!C$300:C$400,MATCH("*"&amp;F55&amp;"*",'4'!B$300:B$400,0)),"  ")</f>
        <v>10</v>
      </c>
      <c r="T55" s="237" t="str">
        <f>IFERROR(INDEX('5'!C$300:C$400,MATCH("*"&amp;F55&amp;"*",'5'!B$300:B$400,0)),"  ")</f>
        <v xml:space="preserve">  </v>
      </c>
      <c r="U55" s="237" t="str">
        <f>IFERROR(INDEX('6'!C$300:C$400,MATCH("*"&amp;F55&amp;"*",'6'!B$300:B$400,0)),"  ")</f>
        <v xml:space="preserve">  </v>
      </c>
      <c r="V55" s="237" t="str">
        <f>IFERROR(INDEX('7'!C$300:C$400,MATCH("*"&amp;F55&amp;"*",'7'!B$300:B$400,0)),"  ")</f>
        <v xml:space="preserve">  </v>
      </c>
      <c r="W55" s="237" t="str">
        <f ca="1">IFERROR(INDEX('8'!C$300:C$400,MATCH("*"&amp;F55&amp;"*",'8'!B$300:B$400,0)),"  ")</f>
        <v xml:space="preserve">  </v>
      </c>
      <c r="X55" s="237">
        <f>IFERROR(INDEX('9'!C$300:C$400,MATCH("*"&amp;F55&amp;"*",'9'!B$300:B$400,0)),"  ")</f>
        <v>8</v>
      </c>
      <c r="Y55" s="237" t="str">
        <f>IFERROR(INDEX('10'!C$300:C$400,MATCH("*"&amp;F55&amp;"*",'10'!B$300:B$400,0)),"  ")</f>
        <v xml:space="preserve">  </v>
      </c>
      <c r="Z55" s="236" t="str">
        <f>IFERROR(INDEX('11'!C$300:C$400,MATCH("*"&amp;F55&amp;"*",'11'!B$300:B$400,0)),"  ")</f>
        <v xml:space="preserve">  </v>
      </c>
      <c r="AA55" s="237" t="str">
        <f>IFERROR(INDEX('12'!C$300:C$400,MATCH("*"&amp;F55&amp;"*",'12'!B$300:B$400,0)),"  ")</f>
        <v xml:space="preserve">  </v>
      </c>
      <c r="AB55" s="237" t="str">
        <f>IFERROR(INDEX('13'!C$300:C$400,MATCH("*"&amp;F55&amp;"*",'13'!B$300:B$400,0)),"  ")</f>
        <v xml:space="preserve">  </v>
      </c>
      <c r="AC55" s="239">
        <f t="shared" ca="1" si="27"/>
        <v>2</v>
      </c>
      <c r="AD55" s="239">
        <f t="shared" ca="1" si="28"/>
        <v>0</v>
      </c>
      <c r="AE55" s="239">
        <f t="shared" ca="1" si="29"/>
        <v>0</v>
      </c>
      <c r="AF55" s="240">
        <f t="shared" si="30"/>
        <v>1E-4</v>
      </c>
      <c r="AG55" s="240">
        <f t="shared" si="31"/>
        <v>2.0000000000000001E-4</v>
      </c>
      <c r="AH55" s="240">
        <f t="shared" ca="1" si="32"/>
        <v>5.9999999999999995E-4</v>
      </c>
      <c r="AI55" s="240" t="e">
        <f t="shared" ca="1" si="33"/>
        <v>#VALUE!</v>
      </c>
      <c r="AJ55" s="171"/>
    </row>
    <row r="56" spans="1:36" x14ac:dyDescent="0.2">
      <c r="A56" s="225" t="str">
        <f t="shared" si="17"/>
        <v/>
      </c>
      <c r="B56" s="226" t="str">
        <f t="shared" si="18"/>
        <v/>
      </c>
      <c r="C56" s="227" t="str">
        <f t="shared" si="19"/>
        <v/>
      </c>
      <c r="D56" s="228" t="str">
        <f t="shared" si="20"/>
        <v/>
      </c>
      <c r="E56" s="229">
        <f t="shared" ca="1" si="21"/>
        <v>49</v>
      </c>
      <c r="F56" s="245" t="s">
        <v>473</v>
      </c>
      <c r="G56" s="230"/>
      <c r="H56" s="231"/>
      <c r="I56" s="232">
        <f t="array" aca="1" ref="I56" ca="1">(IF(COUNT(P56,R56,Y56,AA56)&lt;3,SUM(P56,R56,Y56,AA56),SUM(LARGE((P56,R56,Y56,AA56),{1;2;3}))))+(IF(COUNT(Q56,S56,T56,X56)&lt;3,SUM(Q56,S56,T56,X56),SUM(LARGE((Q56,S56,T56,X56),{1;2;3}))))+(IF(COUNT(U56,V56,W56,Z56,AB56)&lt;3,SUM(U56,V56,W56,Z56,AB56),SUM(LARGE((U56,V56,W56,Z56,AB56),{1;2;3}))))</f>
        <v>16</v>
      </c>
      <c r="J56" s="233" t="str">
        <f ca="1">INDEX(ETAPP!B$1:B$32,MATCH(COUNTIF(P56:AB56,PIV!A$1),ETAPP!A$1:A$32,0))&amp;INDEX(ETAPP!B$1:B$32,MATCH(COUNTIF(P56:AB56,PIV!A$2),ETAPP!A$1:A$32,0))&amp;INDEX(ETAPP!B$1:B$32,MATCH(COUNTIF(P56:AB56,PIV!A$3),ETAPP!A$1:A$32,0))&amp;INDEX(ETAPP!B$1:B$32,MATCH(COUNTIF(P56:AB56,PIV!A$4),ETAPP!A$1:A$32,0))&amp;INDEX(ETAPP!B$1:B$32,MATCH(COUNTIF(P56:AB56,PIV!A$5),ETAPP!A$1:A$32,0))&amp;INDEX(ETAPP!B$1:B$32,MATCH(COUNTIF(P56:AB56,PIV!A$6),ETAPP!A$1:A$32,0))&amp;INDEX(ETAPP!B$1:B$32,MATCH(COUNTIF(P56:AB56,PIV!A$7),ETAPP!A$1:A$32,0))&amp;INDEX(ETAPP!B$1:B$32,MATCH(COUNTIF(P56:AB56,PIV!A$8),ETAPP!A$1:A$32,0))&amp;INDEX(ETAPP!B$1:B$32,MATCH(COUNTIF(P56:AB56,PIV!A$9),ETAPP!A$1:A$32,0))&amp;INDEX(ETAPP!B$1:B$32,MATCH(COUNTIF(P56:AB56,PIV!A$10),ETAPP!A$1:A$32,0))&amp;INDEX(ETAPP!B$1:B$32,MATCH(COUNTIF(P56:AB56,PIV!A$11),ETAPP!A$1:A$32,0))&amp;INDEX(ETAPP!B$1:B$32,MATCH(COUNTIF(P56:AB56,PIV!A$12),ETAPP!A$1:A$32,0))&amp;INDEX(ETAPP!B$1:B$32,MATCH(COUNTIF(P56:AB56,PIV!A$13),ETAPP!A$1:A$32,0))&amp;INDEX(ETAPP!B$1:B$32,MATCH(COUNTIF(P56:AB56,PIV!A$14),ETAPP!A$1:A$32,0))&amp;INDEX(ETAPP!B$1:B$32,MATCH(COUNTIF(P56:AB56,PIV!A$15),ETAPP!A$1:A$32,0))&amp;INDEX(ETAPP!B$1:B$32,MATCH(COUNTIF(P56:AB56,PIV!A$16),ETAPP!A$1:A$32,0))&amp;INDEX(ETAPP!B$1:B$32,MATCH(COUNTIF(P56:AB56,PIV!A$17),ETAPP!A$1:A$32,0))&amp;INDEX(ETAPP!B$1:B$32,MATCH(COUNTIF(P56:AB56,PIV!A$18),ETAPP!A$1:A$32,0))&amp;INDEX(ETAPP!B$1:B$32,MATCH(COUNTIF(P56:AB56,PIV!A$19),ETAPP!A$1:A$32,0))</f>
        <v>00000000A000000000G</v>
      </c>
      <c r="K56" s="233" t="str">
        <f t="shared" ca="1" si="22"/>
        <v>016,0-00000000A000000000G</v>
      </c>
      <c r="L56" s="234">
        <f t="shared" ca="1" si="23"/>
        <v>50</v>
      </c>
      <c r="M56" s="234">
        <f t="shared" si="24"/>
        <v>40</v>
      </c>
      <c r="N56" s="233" t="str">
        <f t="shared" ca="1" si="25"/>
        <v>016,0-00000000A000000000G-040</v>
      </c>
      <c r="O56" s="235">
        <f t="shared" ca="1" si="26"/>
        <v>7</v>
      </c>
      <c r="P56" s="236" t="str">
        <f>IFERROR(INDEX('1'!C$300:C$400,MATCH("*"&amp;F56&amp;"*",'1'!B$300:B$400,0)),"  ")</f>
        <v xml:space="preserve">  </v>
      </c>
      <c r="Q56" s="237" t="str">
        <f>IFERROR(INDEX('2'!C$300:C$400,MATCH("*"&amp;F56&amp;"*",'2'!B$300:B$400,0)),"  ")</f>
        <v xml:space="preserve">  </v>
      </c>
      <c r="R56" s="237" t="str">
        <f>IFERROR(INDEX('3'!C$300:C$400,MATCH("*"&amp;F56&amp;"*",'3'!B$300:B$400,0)),"  ")</f>
        <v xml:space="preserve">  </v>
      </c>
      <c r="S56" s="237" t="str">
        <f>IFERROR(INDEX('4'!C$300:C$400,MATCH("*"&amp;F56&amp;"*",'4'!B$300:B$400,0)),"  ")</f>
        <v xml:space="preserve">  </v>
      </c>
      <c r="T56" s="237">
        <f>IFERROR(INDEX('5'!C$300:C$400,MATCH("*"&amp;F56&amp;"*",'5'!B$300:B$400,0)),"  ")</f>
        <v>16</v>
      </c>
      <c r="U56" s="237" t="str">
        <f>IFERROR(INDEX('6'!C$300:C$400,MATCH("*"&amp;F56&amp;"*",'6'!B$300:B$400,0)),"  ")</f>
        <v xml:space="preserve">  </v>
      </c>
      <c r="V56" s="237" t="str">
        <f>IFERROR(INDEX('7'!C$300:C$400,MATCH("*"&amp;F56&amp;"*",'7'!B$300:B$400,0)),"  ")</f>
        <v xml:space="preserve">  </v>
      </c>
      <c r="W56" s="237" t="str">
        <f ca="1">IFERROR(INDEX('8'!C$300:C$400,MATCH("*"&amp;F56&amp;"*",'8'!B$300:B$400,0)),"  ")</f>
        <v xml:space="preserve">  </v>
      </c>
      <c r="X56" s="237" t="str">
        <f>IFERROR(INDEX('9'!C$300:C$400,MATCH("*"&amp;F56&amp;"*",'9'!B$300:B$400,0)),"  ")</f>
        <v xml:space="preserve">  </v>
      </c>
      <c r="Y56" s="237" t="str">
        <f>IFERROR(INDEX('10'!C$300:C$400,MATCH("*"&amp;F56&amp;"*",'10'!B$300:B$400,0)),"  ")</f>
        <v xml:space="preserve">  </v>
      </c>
      <c r="Z56" s="236" t="str">
        <f>IFERROR(INDEX('11'!C$300:C$400,MATCH("*"&amp;F56&amp;"*",'11'!B$300:B$400,0)),"  ")</f>
        <v xml:space="preserve">  </v>
      </c>
      <c r="AA56" s="237" t="str">
        <f>IFERROR(INDEX('12'!C$300:C$400,MATCH("*"&amp;F56&amp;"*",'12'!B$300:B$400,0)),"  ")</f>
        <v xml:space="preserve">  </v>
      </c>
      <c r="AB56" s="237" t="str">
        <f>IFERROR(INDEX('13'!C$300:C$400,MATCH("*"&amp;F56&amp;"*",'13'!B$300:B$400,0)),"  ")</f>
        <v xml:space="preserve">  </v>
      </c>
      <c r="AC56" s="239">
        <f t="shared" ca="1" si="27"/>
        <v>1</v>
      </c>
      <c r="AD56" s="239">
        <f t="shared" ca="1" si="28"/>
        <v>0</v>
      </c>
      <c r="AE56" s="239">
        <f t="shared" ca="1" si="29"/>
        <v>0</v>
      </c>
      <c r="AF56" s="240">
        <f t="shared" si="30"/>
        <v>1E-4</v>
      </c>
      <c r="AG56" s="240">
        <f t="shared" si="31"/>
        <v>2.0000000000000001E-4</v>
      </c>
      <c r="AH56" s="240">
        <f t="shared" ca="1" si="32"/>
        <v>5.9999999999999995E-4</v>
      </c>
      <c r="AI56" s="240" t="e">
        <f t="shared" ca="1" si="33"/>
        <v>#VALUE!</v>
      </c>
      <c r="AJ56" s="171"/>
    </row>
    <row r="57" spans="1:36" x14ac:dyDescent="0.2">
      <c r="A57" s="225" t="str">
        <f t="shared" si="17"/>
        <v/>
      </c>
      <c r="B57" s="226" t="str">
        <f t="shared" si="18"/>
        <v/>
      </c>
      <c r="C57" s="227" t="str">
        <f t="shared" si="19"/>
        <v/>
      </c>
      <c r="D57" s="228" t="str">
        <f t="shared" si="20"/>
        <v/>
      </c>
      <c r="E57" s="229">
        <f t="shared" ca="1" si="21"/>
        <v>49</v>
      </c>
      <c r="F57" s="245" t="s">
        <v>150</v>
      </c>
      <c r="G57" s="230"/>
      <c r="H57" s="231"/>
      <c r="I57" s="232">
        <f t="array" aca="1" ref="I57" ca="1">(IF(COUNT(P57,R57,Y57,AA57)&lt;3,SUM(P57,R57,Y57,AA57),SUM(LARGE((P57,R57,Y57,AA57),{1;2;3}))))+(IF(COUNT(Q57,S57,T57,X57)&lt;3,SUM(Q57,S57,T57,X57),SUM(LARGE((Q57,S57,T57,X57),{1;2;3}))))+(IF(COUNT(U57,V57,W57,Z57,AB57)&lt;3,SUM(U57,V57,W57,Z57,AB57),SUM(LARGE((U57,V57,W57,Z57,AB57),{1;2;3}))))</f>
        <v>16</v>
      </c>
      <c r="J57" s="233" t="str">
        <f ca="1">INDEX(ETAPP!B$1:B$32,MATCH(COUNTIF(P57:AB57,PIV!A$1),ETAPP!A$1:A$32,0))&amp;INDEX(ETAPP!B$1:B$32,MATCH(COUNTIF(P57:AB57,PIV!A$2),ETAPP!A$1:A$32,0))&amp;INDEX(ETAPP!B$1:B$32,MATCH(COUNTIF(P57:AB57,PIV!A$3),ETAPP!A$1:A$32,0))&amp;INDEX(ETAPP!B$1:B$32,MATCH(COUNTIF(P57:AB57,PIV!A$4),ETAPP!A$1:A$32,0))&amp;INDEX(ETAPP!B$1:B$32,MATCH(COUNTIF(P57:AB57,PIV!A$5),ETAPP!A$1:A$32,0))&amp;INDEX(ETAPP!B$1:B$32,MATCH(COUNTIF(P57:AB57,PIV!A$6),ETAPP!A$1:A$32,0))&amp;INDEX(ETAPP!B$1:B$32,MATCH(COUNTIF(P57:AB57,PIV!A$7),ETAPP!A$1:A$32,0))&amp;INDEX(ETAPP!B$1:B$32,MATCH(COUNTIF(P57:AB57,PIV!A$8),ETAPP!A$1:A$32,0))&amp;INDEX(ETAPP!B$1:B$32,MATCH(COUNTIF(P57:AB57,PIV!A$9),ETAPP!A$1:A$32,0))&amp;INDEX(ETAPP!B$1:B$32,MATCH(COUNTIF(P57:AB57,PIV!A$10),ETAPP!A$1:A$32,0))&amp;INDEX(ETAPP!B$1:B$32,MATCH(COUNTIF(P57:AB57,PIV!A$11),ETAPP!A$1:A$32,0))&amp;INDEX(ETAPP!B$1:B$32,MATCH(COUNTIF(P57:AB57,PIV!A$12),ETAPP!A$1:A$32,0))&amp;INDEX(ETAPP!B$1:B$32,MATCH(COUNTIF(P57:AB57,PIV!A$13),ETAPP!A$1:A$32,0))&amp;INDEX(ETAPP!B$1:B$32,MATCH(COUNTIF(P57:AB57,PIV!A$14),ETAPP!A$1:A$32,0))&amp;INDEX(ETAPP!B$1:B$32,MATCH(COUNTIF(P57:AB57,PIV!A$15),ETAPP!A$1:A$32,0))&amp;INDEX(ETAPP!B$1:B$32,MATCH(COUNTIF(P57:AB57,PIV!A$16),ETAPP!A$1:A$32,0))&amp;INDEX(ETAPP!B$1:B$32,MATCH(COUNTIF(P57:AB57,PIV!A$17),ETAPP!A$1:A$32,0))&amp;INDEX(ETAPP!B$1:B$32,MATCH(COUNTIF(P57:AB57,PIV!A$18),ETAPP!A$1:A$32,0))&amp;INDEX(ETAPP!B$1:B$32,MATCH(COUNTIF(P57:AB57,PIV!A$19),ETAPP!A$1:A$32,0))</f>
        <v>00000000A000000000G</v>
      </c>
      <c r="K57" s="233" t="str">
        <f t="shared" ca="1" si="22"/>
        <v>016,0-00000000A000000000G</v>
      </c>
      <c r="L57" s="234">
        <f t="shared" ca="1" si="23"/>
        <v>50</v>
      </c>
      <c r="M57" s="234">
        <f t="shared" si="24"/>
        <v>26</v>
      </c>
      <c r="N57" s="233" t="str">
        <f t="shared" ca="1" si="25"/>
        <v>016,0-00000000A000000000G-026</v>
      </c>
      <c r="O57" s="235">
        <f t="shared" ca="1" si="26"/>
        <v>6</v>
      </c>
      <c r="P57" s="236" t="str">
        <f>IFERROR(INDEX('1'!C$300:C$400,MATCH("*"&amp;F57&amp;"*",'1'!B$300:B$400,0)),"  ")</f>
        <v xml:space="preserve">  </v>
      </c>
      <c r="Q57" s="237" t="str">
        <f>IFERROR(INDEX('2'!C$300:C$400,MATCH("*"&amp;F57&amp;"*",'2'!B$300:B$400,0)),"  ")</f>
        <v xml:space="preserve">  </v>
      </c>
      <c r="R57" s="237" t="str">
        <f>IFERROR(INDEX('3'!C$300:C$400,MATCH("*"&amp;F57&amp;"*",'3'!B$300:B$400,0)),"  ")</f>
        <v xml:space="preserve">  </v>
      </c>
      <c r="S57" s="237" t="str">
        <f>IFERROR(INDEX('4'!C$300:C$400,MATCH("*"&amp;F57&amp;"*",'4'!B$300:B$400,0)),"  ")</f>
        <v xml:space="preserve">  </v>
      </c>
      <c r="T57" s="237">
        <f>IFERROR(INDEX('5'!C$300:C$400,MATCH("*"&amp;F57&amp;"*",'5'!B$300:B$400,0)),"  ")</f>
        <v>16</v>
      </c>
      <c r="U57" s="237" t="str">
        <f>IFERROR(INDEX('6'!C$300:C$400,MATCH("*"&amp;F57&amp;"*",'6'!B$300:B$400,0)),"  ")</f>
        <v xml:space="preserve">  </v>
      </c>
      <c r="V57" s="237" t="str">
        <f>IFERROR(INDEX('7'!C$300:C$400,MATCH("*"&amp;F57&amp;"*",'7'!B$300:B$400,0)),"  ")</f>
        <v xml:space="preserve">  </v>
      </c>
      <c r="W57" s="237" t="str">
        <f ca="1">IFERROR(INDEX('8'!C$300:C$400,MATCH("*"&amp;F57&amp;"*",'8'!B$300:B$400,0)),"  ")</f>
        <v xml:space="preserve">  </v>
      </c>
      <c r="X57" s="237" t="str">
        <f>IFERROR(INDEX('9'!C$300:C$400,MATCH("*"&amp;F57&amp;"*",'9'!B$300:B$400,0)),"  ")</f>
        <v xml:space="preserve">  </v>
      </c>
      <c r="Y57" s="237" t="str">
        <f>IFERROR(INDEX('10'!C$300:C$400,MATCH("*"&amp;F57&amp;"*",'10'!B$300:B$400,0)),"  ")</f>
        <v xml:space="preserve">  </v>
      </c>
      <c r="Z57" s="236" t="str">
        <f>IFERROR(INDEX('11'!C$300:C$400,MATCH("*"&amp;F57&amp;"*",'11'!B$300:B$400,0)),"  ")</f>
        <v xml:space="preserve">  </v>
      </c>
      <c r="AA57" s="237" t="str">
        <f>IFERROR(INDEX('12'!C$300:C$400,MATCH("*"&amp;F57&amp;"*",'12'!B$300:B$400,0)),"  ")</f>
        <v xml:space="preserve">  </v>
      </c>
      <c r="AB57" s="237" t="str">
        <f>IFERROR(INDEX('13'!C$300:C$400,MATCH("*"&amp;F57&amp;"*",'13'!B$300:B$400,0)),"  ")</f>
        <v xml:space="preserve">  </v>
      </c>
      <c r="AC57" s="239">
        <f t="shared" ca="1" si="27"/>
        <v>1</v>
      </c>
      <c r="AD57" s="239">
        <f t="shared" ca="1" si="28"/>
        <v>0</v>
      </c>
      <c r="AE57" s="239">
        <f t="shared" ca="1" si="29"/>
        <v>0</v>
      </c>
      <c r="AF57" s="240">
        <f t="shared" si="30"/>
        <v>1E-4</v>
      </c>
      <c r="AG57" s="240">
        <f t="shared" si="31"/>
        <v>2.0000000000000001E-4</v>
      </c>
      <c r="AH57" s="240">
        <f t="shared" ca="1" si="32"/>
        <v>5.9999999999999995E-4</v>
      </c>
      <c r="AI57" s="240" t="e">
        <f t="shared" ca="1" si="33"/>
        <v>#VALUE!</v>
      </c>
      <c r="AJ57" s="171"/>
    </row>
    <row r="58" spans="1:36" x14ac:dyDescent="0.2">
      <c r="A58" s="225" t="str">
        <f t="shared" si="17"/>
        <v/>
      </c>
      <c r="B58" s="226" t="str">
        <f t="shared" si="18"/>
        <v/>
      </c>
      <c r="C58" s="227" t="str">
        <f t="shared" si="19"/>
        <v/>
      </c>
      <c r="D58" s="228" t="str">
        <f t="shared" si="20"/>
        <v/>
      </c>
      <c r="E58" s="229">
        <f t="shared" ca="1" si="21"/>
        <v>51</v>
      </c>
      <c r="F58" s="191" t="s">
        <v>132</v>
      </c>
      <c r="G58" s="230"/>
      <c r="H58" s="231"/>
      <c r="I58" s="232">
        <f t="array" aca="1" ref="I58" ca="1">(IF(COUNT(P58,R58,Y58,AA58)&lt;3,SUM(P58,R58,Y58,AA58),SUM(LARGE((P58,R58,Y58,AA58),{1;2;3}))))+(IF(COUNT(Q58,S58,T58,X58)&lt;3,SUM(Q58,S58,T58,X58),SUM(LARGE((Q58,S58,T58,X58),{1;2;3}))))+(IF(COUNT(U58,V58,W58,Z58,AB58)&lt;3,SUM(U58,V58,W58,Z58,AB58),SUM(LARGE((U58,V58,W58,Z58,AB58),{1;2;3}))))</f>
        <v>6</v>
      </c>
      <c r="J58" s="233" t="str">
        <f ca="1">INDEX(ETAPP!B$1:B$32,MATCH(COUNTIF(P58:AB58,PIV!A$1),ETAPP!A$1:A$32,0))&amp;INDEX(ETAPP!B$1:B$32,MATCH(COUNTIF(P58:AB58,PIV!A$2),ETAPP!A$1:A$32,0))&amp;INDEX(ETAPP!B$1:B$32,MATCH(COUNTIF(P58:AB58,PIV!A$3),ETAPP!A$1:A$32,0))&amp;INDEX(ETAPP!B$1:B$32,MATCH(COUNTIF(P58:AB58,PIV!A$4),ETAPP!A$1:A$32,0))&amp;INDEX(ETAPP!B$1:B$32,MATCH(COUNTIF(P58:AB58,PIV!A$5),ETAPP!A$1:A$32,0))&amp;INDEX(ETAPP!B$1:B$32,MATCH(COUNTIF(P58:AB58,PIV!A$6),ETAPP!A$1:A$32,0))&amp;INDEX(ETAPP!B$1:B$32,MATCH(COUNTIF(P58:AB58,PIV!A$7),ETAPP!A$1:A$32,0))&amp;INDEX(ETAPP!B$1:B$32,MATCH(COUNTIF(P58:AB58,PIV!A$8),ETAPP!A$1:A$32,0))&amp;INDEX(ETAPP!B$1:B$32,MATCH(COUNTIF(P58:AB58,PIV!A$9),ETAPP!A$1:A$32,0))&amp;INDEX(ETAPP!B$1:B$32,MATCH(COUNTIF(P58:AB58,PIV!A$10),ETAPP!A$1:A$32,0))&amp;INDEX(ETAPP!B$1:B$32,MATCH(COUNTIF(P58:AB58,PIV!A$11),ETAPP!A$1:A$32,0))&amp;INDEX(ETAPP!B$1:B$32,MATCH(COUNTIF(P58:AB58,PIV!A$12),ETAPP!A$1:A$32,0))&amp;INDEX(ETAPP!B$1:B$32,MATCH(COUNTIF(P58:AB58,PIV!A$13),ETAPP!A$1:A$32,0))&amp;INDEX(ETAPP!B$1:B$32,MATCH(COUNTIF(P58:AB58,PIV!A$14),ETAPP!A$1:A$32,0))&amp;INDEX(ETAPP!B$1:B$32,MATCH(COUNTIF(P58:AB58,PIV!A$15),ETAPP!A$1:A$32,0))&amp;INDEX(ETAPP!B$1:B$32,MATCH(COUNTIF(P58:AB58,PIV!A$16),ETAPP!A$1:A$32,0))&amp;INDEX(ETAPP!B$1:B$32,MATCH(COUNTIF(P58:AB58,PIV!A$17),ETAPP!A$1:A$32,0))&amp;INDEX(ETAPP!B$1:B$32,MATCH(COUNTIF(P58:AB58,PIV!A$18),ETAPP!A$1:A$32,0))&amp;INDEX(ETAPP!B$1:B$32,MATCH(COUNTIF(P58:AB58,PIV!A$19),ETAPP!A$1:A$32,0))</f>
        <v>0000000000000A0000G</v>
      </c>
      <c r="K58" s="233" t="str">
        <f t="shared" ca="1" si="22"/>
        <v>006,0-0000000000000A0000G</v>
      </c>
      <c r="L58" s="234">
        <f t="shared" ca="1" si="23"/>
        <v>51</v>
      </c>
      <c r="M58" s="234">
        <f t="shared" si="24"/>
        <v>9</v>
      </c>
      <c r="N58" s="233" t="str">
        <f t="shared" ca="1" si="25"/>
        <v>006,0-0000000000000A0000G-009</v>
      </c>
      <c r="O58" s="235">
        <f t="shared" ca="1" si="26"/>
        <v>5</v>
      </c>
      <c r="P58" s="236" t="str">
        <f>IFERROR(INDEX('1'!C$300:C$400,MATCH("*"&amp;F58&amp;"*",'1'!B$300:B$400,0)),"  ")</f>
        <v xml:space="preserve">  </v>
      </c>
      <c r="Q58" s="237">
        <f>IFERROR(INDEX('2'!C$300:C$400,MATCH("*"&amp;F58&amp;"*",'2'!B$300:B$400,0)),"  ")</f>
        <v>6</v>
      </c>
      <c r="R58" s="237" t="str">
        <f>IFERROR(INDEX('3'!C$300:C$400,MATCH("*"&amp;F58&amp;"*",'3'!B$300:B$400,0)),"  ")</f>
        <v xml:space="preserve">  </v>
      </c>
      <c r="S58" s="237" t="str">
        <f>IFERROR(INDEX('4'!C$300:C$400,MATCH("*"&amp;F58&amp;"*",'4'!B$300:B$400,0)),"  ")</f>
        <v xml:space="preserve">  </v>
      </c>
      <c r="T58" s="237" t="str">
        <f>IFERROR(INDEX('5'!C$300:C$400,MATCH("*"&amp;F58&amp;"*",'5'!B$300:B$400,0)),"  ")</f>
        <v xml:space="preserve">  </v>
      </c>
      <c r="U58" s="237" t="str">
        <f>IFERROR(INDEX('6'!C$300:C$400,MATCH("*"&amp;F58&amp;"*",'6'!B$300:B$400,0)),"  ")</f>
        <v xml:space="preserve">  </v>
      </c>
      <c r="V58" s="237" t="str">
        <f>IFERROR(INDEX('7'!C$300:C$400,MATCH("*"&amp;F58&amp;"*",'7'!B$300:B$400,0)),"  ")</f>
        <v xml:space="preserve">  </v>
      </c>
      <c r="W58" s="237" t="str">
        <f ca="1">IFERROR(INDEX('8'!C$300:C$400,MATCH("*"&amp;F58&amp;"*",'8'!B$300:B$400,0)),"  ")</f>
        <v xml:space="preserve">  </v>
      </c>
      <c r="X58" s="237" t="str">
        <f>IFERROR(INDEX('9'!C$300:C$400,MATCH("*"&amp;F58&amp;"*",'9'!B$300:B$400,0)),"  ")</f>
        <v xml:space="preserve">  </v>
      </c>
      <c r="Y58" s="237" t="str">
        <f>IFERROR(INDEX('10'!C$300:C$400,MATCH("*"&amp;F58&amp;"*",'10'!B$300:B$400,0)),"  ")</f>
        <v xml:space="preserve">  </v>
      </c>
      <c r="Z58" s="236" t="str">
        <f>IFERROR(INDEX('11'!C$300:C$400,MATCH("*"&amp;F58&amp;"*",'11'!B$300:B$400,0)),"  ")</f>
        <v xml:space="preserve">  </v>
      </c>
      <c r="AA58" s="237" t="str">
        <f>IFERROR(INDEX('12'!C$300:C$400,MATCH("*"&amp;F58&amp;"*",'12'!B$300:B$400,0)),"  ")</f>
        <v xml:space="preserve">  </v>
      </c>
      <c r="AB58" s="237" t="str">
        <f>IFERROR(INDEX('13'!C$300:C$400,MATCH("*"&amp;F58&amp;"*",'13'!B$300:B$400,0)),"  ")</f>
        <v xml:space="preserve">  </v>
      </c>
      <c r="AC58" s="239">
        <f t="shared" ca="1" si="27"/>
        <v>1</v>
      </c>
      <c r="AD58" s="239">
        <f t="shared" ca="1" si="28"/>
        <v>0</v>
      </c>
      <c r="AE58" s="239">
        <f t="shared" ca="1" si="29"/>
        <v>0</v>
      </c>
      <c r="AF58" s="240">
        <f t="shared" si="30"/>
        <v>1E-4</v>
      </c>
      <c r="AG58" s="240">
        <f t="shared" si="31"/>
        <v>4.0000000000000002E-4</v>
      </c>
      <c r="AH58" s="240">
        <f t="shared" ca="1" si="32"/>
        <v>5.9999999999999995E-4</v>
      </c>
      <c r="AI58" s="240" t="e">
        <f t="shared" ca="1" si="33"/>
        <v>#VALUE!</v>
      </c>
      <c r="AJ58" s="171"/>
    </row>
    <row r="59" spans="1:36" x14ac:dyDescent="0.2">
      <c r="A59" s="225" t="str">
        <f t="shared" si="17"/>
        <v/>
      </c>
      <c r="B59" s="226" t="str">
        <f t="shared" si="18"/>
        <v/>
      </c>
      <c r="C59" s="227" t="str">
        <f t="shared" si="19"/>
        <v/>
      </c>
      <c r="D59" s="228" t="str">
        <f t="shared" si="20"/>
        <v/>
      </c>
      <c r="E59" s="229">
        <f t="shared" ca="1" si="21"/>
        <v>52</v>
      </c>
      <c r="F59" s="245" t="s">
        <v>133</v>
      </c>
      <c r="G59" s="230"/>
      <c r="H59" s="231"/>
      <c r="I59" s="232">
        <f t="array" aca="1" ref="I59" ca="1">(IF(COUNT(P59,R59,Y59,AA59)&lt;3,SUM(P59,R59,Y59,AA59),SUM(LARGE((P59,R59,Y59,AA59),{1;2;3}))))+(IF(COUNT(Q59,S59,T59,X59)&lt;3,SUM(Q59,S59,T59,X59),SUM(LARGE((Q59,S59,T59,X59),{1;2;3}))))+(IF(COUNT(U59,V59,W59,Z59,AB59)&lt;3,SUM(U59,V59,W59,Z59,AB59),SUM(LARGE((U59,V59,W59,Z59,AB59),{1;2;3}))))</f>
        <v>2</v>
      </c>
      <c r="J59" s="233" t="str">
        <f ca="1">INDEX(ETAPP!B$1:B$32,MATCH(COUNTIF(P59:AB59,PIV!A$1),ETAPP!A$1:A$32,0))&amp;INDEX(ETAPP!B$1:B$32,MATCH(COUNTIF(P59:AB59,PIV!A$2),ETAPP!A$1:A$32,0))&amp;INDEX(ETAPP!B$1:B$32,MATCH(COUNTIF(P59:AB59,PIV!A$3),ETAPP!A$1:A$32,0))&amp;INDEX(ETAPP!B$1:B$32,MATCH(COUNTIF(P59:AB59,PIV!A$4),ETAPP!A$1:A$32,0))&amp;INDEX(ETAPP!B$1:B$32,MATCH(COUNTIF(P59:AB59,PIV!A$5),ETAPP!A$1:A$32,0))&amp;INDEX(ETAPP!B$1:B$32,MATCH(COUNTIF(P59:AB59,PIV!A$6),ETAPP!A$1:A$32,0))&amp;INDEX(ETAPP!B$1:B$32,MATCH(COUNTIF(P59:AB59,PIV!A$7),ETAPP!A$1:A$32,0))&amp;INDEX(ETAPP!B$1:B$32,MATCH(COUNTIF(P59:AB59,PIV!A$8),ETAPP!A$1:A$32,0))&amp;INDEX(ETAPP!B$1:B$32,MATCH(COUNTIF(P59:AB59,PIV!A$9),ETAPP!A$1:A$32,0))&amp;INDEX(ETAPP!B$1:B$32,MATCH(COUNTIF(P59:AB59,PIV!A$10),ETAPP!A$1:A$32,0))&amp;INDEX(ETAPP!B$1:B$32,MATCH(COUNTIF(P59:AB59,PIV!A$11),ETAPP!A$1:A$32,0))&amp;INDEX(ETAPP!B$1:B$32,MATCH(COUNTIF(P59:AB59,PIV!A$12),ETAPP!A$1:A$32,0))&amp;INDEX(ETAPP!B$1:B$32,MATCH(COUNTIF(P59:AB59,PIV!A$13),ETAPP!A$1:A$32,0))&amp;INDEX(ETAPP!B$1:B$32,MATCH(COUNTIF(P59:AB59,PIV!A$14),ETAPP!A$1:A$32,0))&amp;INDEX(ETAPP!B$1:B$32,MATCH(COUNTIF(P59:AB59,PIV!A$15),ETAPP!A$1:A$32,0))&amp;INDEX(ETAPP!B$1:B$32,MATCH(COUNTIF(P59:AB59,PIV!A$16),ETAPP!A$1:A$32,0))&amp;INDEX(ETAPP!B$1:B$32,MATCH(COUNTIF(P59:AB59,PIV!A$17),ETAPP!A$1:A$32,0))&amp;INDEX(ETAPP!B$1:B$32,MATCH(COUNTIF(P59:AB59,PIV!A$18),ETAPP!A$1:A$32,0))&amp;INDEX(ETAPP!B$1:B$32,MATCH(COUNTIF(P59:AB59,PIV!A$19),ETAPP!A$1:A$32,0))</f>
        <v>000000000000000A00G</v>
      </c>
      <c r="K59" s="233" t="str">
        <f t="shared" ca="1" si="22"/>
        <v>002,0-000000000000000A00G</v>
      </c>
      <c r="L59" s="234">
        <f t="shared" ca="1" si="23"/>
        <v>52</v>
      </c>
      <c r="M59" s="234">
        <f t="shared" si="24"/>
        <v>10</v>
      </c>
      <c r="N59" s="233" t="str">
        <f t="shared" ca="1" si="25"/>
        <v>002,0-000000000000000A00G-010</v>
      </c>
      <c r="O59" s="235">
        <f t="shared" ca="1" si="26"/>
        <v>4</v>
      </c>
      <c r="P59" s="236" t="str">
        <f>IFERROR(INDEX('1'!C$300:C$400,MATCH("*"&amp;F59&amp;"*",'1'!B$300:B$400,0)),"  ")</f>
        <v xml:space="preserve">  </v>
      </c>
      <c r="Q59" s="237" t="str">
        <f>IFERROR(INDEX('2'!C$300:C$400,MATCH("*"&amp;F59&amp;"*",'2'!B$300:B$400,0)),"  ")</f>
        <v xml:space="preserve">  </v>
      </c>
      <c r="R59" s="237" t="str">
        <f>IFERROR(INDEX('3'!C$300:C$400,MATCH("*"&amp;F59&amp;"*",'3'!B$300:B$400,0)),"  ")</f>
        <v xml:space="preserve">  </v>
      </c>
      <c r="S59" s="237" t="str">
        <f>IFERROR(INDEX('4'!C$300:C$400,MATCH("*"&amp;F59&amp;"*",'4'!B$300:B$400,0)),"  ")</f>
        <v xml:space="preserve">  </v>
      </c>
      <c r="T59" s="237" t="str">
        <f>IFERROR(INDEX('5'!C$300:C$400,MATCH("*"&amp;F59&amp;"*",'5'!B$300:B$400,0)),"  ")</f>
        <v xml:space="preserve">  </v>
      </c>
      <c r="U59" s="237" t="str">
        <f>IFERROR(INDEX('6'!C$300:C$400,MATCH("*"&amp;F59&amp;"*",'6'!B$300:B$400,0)),"  ")</f>
        <v xml:space="preserve">  </v>
      </c>
      <c r="V59" s="237">
        <f>IFERROR(INDEX('7'!C$300:C$400,MATCH("*"&amp;F59&amp;"*",'7'!B$300:B$400,0)),"  ")</f>
        <v>2</v>
      </c>
      <c r="W59" s="237" t="str">
        <f ca="1">IFERROR(INDEX('8'!C$300:C$400,MATCH("*"&amp;F59&amp;"*",'8'!B$300:B$400,0)),"  ")</f>
        <v xml:space="preserve">  </v>
      </c>
      <c r="X59" s="237" t="str">
        <f>IFERROR(INDEX('9'!C$300:C$400,MATCH("*"&amp;F59&amp;"*",'9'!B$300:B$400,0)),"  ")</f>
        <v xml:space="preserve">  </v>
      </c>
      <c r="Y59" s="237" t="str">
        <f>IFERROR(INDEX('10'!C$300:C$400,MATCH("*"&amp;F59&amp;"*",'10'!B$300:B$400,0)),"  ")</f>
        <v xml:space="preserve">  </v>
      </c>
      <c r="Z59" s="236" t="str">
        <f>IFERROR(INDEX('11'!C$300:C$400,MATCH("*"&amp;F59&amp;"*",'11'!B$300:B$400,0)),"  ")</f>
        <v xml:space="preserve">  </v>
      </c>
      <c r="AA59" s="237" t="str">
        <f>IFERROR(INDEX('12'!C$300:C$400,MATCH("*"&amp;F59&amp;"*",'12'!B$300:B$400,0)),"  ")</f>
        <v xml:space="preserve">  </v>
      </c>
      <c r="AB59" s="237" t="str">
        <f>IFERROR(INDEX('13'!C$300:C$400,MATCH("*"&amp;F59&amp;"*",'13'!B$300:B$400,0)),"  ")</f>
        <v xml:space="preserve">  </v>
      </c>
      <c r="AC59" s="239">
        <f t="shared" ca="1" si="27"/>
        <v>1</v>
      </c>
      <c r="AD59" s="239">
        <f t="shared" ca="1" si="28"/>
        <v>0</v>
      </c>
      <c r="AE59" s="239">
        <f t="shared" ca="1" si="29"/>
        <v>0</v>
      </c>
      <c r="AF59" s="240">
        <f t="shared" si="30"/>
        <v>1E-4</v>
      </c>
      <c r="AG59" s="240">
        <f t="shared" si="31"/>
        <v>2.0000000000000001E-4</v>
      </c>
      <c r="AH59" s="240">
        <f t="shared" ca="1" si="32"/>
        <v>5.9999999999999995E-4</v>
      </c>
      <c r="AI59" s="240">
        <f t="shared" ca="1" si="33"/>
        <v>8.0000000000000004E-4</v>
      </c>
      <c r="AJ59" s="171"/>
    </row>
    <row r="60" spans="1:36" x14ac:dyDescent="0.2">
      <c r="A60" s="225" t="str">
        <f t="shared" si="17"/>
        <v/>
      </c>
      <c r="B60" s="226" t="str">
        <f t="shared" si="18"/>
        <v/>
      </c>
      <c r="C60" s="227" t="str">
        <f t="shared" si="19"/>
        <v/>
      </c>
      <c r="D60" s="228" t="str">
        <f t="shared" si="20"/>
        <v/>
      </c>
      <c r="E60" s="229">
        <f t="shared" ca="1" si="21"/>
        <v>53</v>
      </c>
      <c r="F60" s="191" t="s">
        <v>153</v>
      </c>
      <c r="G60" s="230"/>
      <c r="H60" s="231"/>
      <c r="I60" s="232">
        <f t="array" aca="1" ref="I60" ca="1">(IF(COUNT(P60,R60,Y60,AA60)&lt;3,SUM(P60,R60,Y60,AA60),SUM(LARGE((P60,R60,Y60,AA60),{1;2;3}))))+(IF(COUNT(Q60,S60,T60,X60)&lt;3,SUM(Q60,S60,T60,X60),SUM(LARGE((Q60,S60,T60,X60),{1;2;3}))))+(IF(COUNT(U60,V60,W60,Z60,AB60)&lt;3,SUM(U60,V60,W60,Z60,AB60),SUM(LARGE((U60,V60,W60,Z60,AB60),{1;2;3}))))</f>
        <v>1</v>
      </c>
      <c r="J60" s="233" t="str">
        <f ca="1">INDEX(ETAPP!B$1:B$32,MATCH(COUNTIF(P60:AB60,PIV!A$1),ETAPP!A$1:A$32,0))&amp;INDEX(ETAPP!B$1:B$32,MATCH(COUNTIF(P60:AB60,PIV!A$2),ETAPP!A$1:A$32,0))&amp;INDEX(ETAPP!B$1:B$32,MATCH(COUNTIF(P60:AB60,PIV!A$3),ETAPP!A$1:A$32,0))&amp;INDEX(ETAPP!B$1:B$32,MATCH(COUNTIF(P60:AB60,PIV!A$4),ETAPP!A$1:A$32,0))&amp;INDEX(ETAPP!B$1:B$32,MATCH(COUNTIF(P60:AB60,PIV!A$5),ETAPP!A$1:A$32,0))&amp;INDEX(ETAPP!B$1:B$32,MATCH(COUNTIF(P60:AB60,PIV!A$6),ETAPP!A$1:A$32,0))&amp;INDEX(ETAPP!B$1:B$32,MATCH(COUNTIF(P60:AB60,PIV!A$7),ETAPP!A$1:A$32,0))&amp;INDEX(ETAPP!B$1:B$32,MATCH(COUNTIF(P60:AB60,PIV!A$8),ETAPP!A$1:A$32,0))&amp;INDEX(ETAPP!B$1:B$32,MATCH(COUNTIF(P60:AB60,PIV!A$9),ETAPP!A$1:A$32,0))&amp;INDEX(ETAPP!B$1:B$32,MATCH(COUNTIF(P60:AB60,PIV!A$10),ETAPP!A$1:A$32,0))&amp;INDEX(ETAPP!B$1:B$32,MATCH(COUNTIF(P60:AB60,PIV!A$11),ETAPP!A$1:A$32,0))&amp;INDEX(ETAPP!B$1:B$32,MATCH(COUNTIF(P60:AB60,PIV!A$12),ETAPP!A$1:A$32,0))&amp;INDEX(ETAPP!B$1:B$32,MATCH(COUNTIF(P60:AB60,PIV!A$13),ETAPP!A$1:A$32,0))&amp;INDEX(ETAPP!B$1:B$32,MATCH(COUNTIF(P60:AB60,PIV!A$14),ETAPP!A$1:A$32,0))&amp;INDEX(ETAPP!B$1:B$32,MATCH(COUNTIF(P60:AB60,PIV!A$15),ETAPP!A$1:A$32,0))&amp;INDEX(ETAPP!B$1:B$32,MATCH(COUNTIF(P60:AB60,PIV!A$16),ETAPP!A$1:A$32,0))&amp;INDEX(ETAPP!B$1:B$32,MATCH(COUNTIF(P60:AB60,PIV!A$17),ETAPP!A$1:A$32,0))&amp;INDEX(ETAPP!B$1:B$32,MATCH(COUNTIF(P60:AB60,PIV!A$18),ETAPP!A$1:A$32,0))&amp;INDEX(ETAPP!B$1:B$32,MATCH(COUNTIF(P60:AB60,PIV!A$19),ETAPP!A$1:A$32,0))</f>
        <v>0000000000000000A0G</v>
      </c>
      <c r="K60" s="233" t="str">
        <f t="shared" ca="1" si="22"/>
        <v>001,0-0000000000000000A0G</v>
      </c>
      <c r="L60" s="234">
        <f t="shared" ca="1" si="23"/>
        <v>55</v>
      </c>
      <c r="M60" s="234">
        <f t="shared" si="24"/>
        <v>48</v>
      </c>
      <c r="N60" s="233" t="str">
        <f t="shared" ca="1" si="25"/>
        <v>001,0-0000000000000000A0G-048</v>
      </c>
      <c r="O60" s="235">
        <f t="shared" ca="1" si="26"/>
        <v>3</v>
      </c>
      <c r="P60" s="236" t="str">
        <f>IFERROR(INDEX('1'!C$300:C$400,MATCH("*"&amp;F60&amp;"*",'1'!B$300:B$400,0)),"  ")</f>
        <v xml:space="preserve">  </v>
      </c>
      <c r="Q60" s="237" t="str">
        <f>IFERROR(INDEX('2'!C$300:C$400,MATCH("*"&amp;F60&amp;"*",'2'!B$300:B$400,0)),"  ")</f>
        <v xml:space="preserve">  </v>
      </c>
      <c r="R60" s="237" t="str">
        <f>IFERROR(INDEX('3'!C$300:C$400,MATCH("*"&amp;F60&amp;"*",'3'!B$300:B$400,0)),"  ")</f>
        <v xml:space="preserve">  </v>
      </c>
      <c r="S60" s="237" t="str">
        <f>IFERROR(INDEX('4'!C$300:C$400,MATCH("*"&amp;F60&amp;"*",'4'!B$300:B$400,0)),"  ")</f>
        <v xml:space="preserve">  </v>
      </c>
      <c r="T60" s="237" t="str">
        <f>IFERROR(INDEX('5'!C$300:C$400,MATCH("*"&amp;F60&amp;"*",'5'!B$300:B$400,0)),"  ")</f>
        <v xml:space="preserve">  </v>
      </c>
      <c r="U60" s="237">
        <f>IFERROR(INDEX('6'!C$300:C$400,MATCH("*"&amp;F60&amp;"*",'6'!B$300:B$400,0)),"  ")</f>
        <v>1</v>
      </c>
      <c r="V60" s="237" t="str">
        <f>IFERROR(INDEX('7'!C$300:C$400,MATCH("*"&amp;F60&amp;"*",'7'!B$300:B$400,0)),"  ")</f>
        <v xml:space="preserve">  </v>
      </c>
      <c r="W60" s="237" t="str">
        <f ca="1">IFERROR(INDEX('8'!C$300:C$400,MATCH("*"&amp;F60&amp;"*",'8'!B$300:B$400,0)),"  ")</f>
        <v xml:space="preserve">  </v>
      </c>
      <c r="X60" s="237" t="str">
        <f>IFERROR(INDEX('9'!C$300:C$400,MATCH("*"&amp;F60&amp;"*",'9'!B$300:B$400,0)),"  ")</f>
        <v xml:space="preserve">  </v>
      </c>
      <c r="Y60" s="237" t="str">
        <f>IFERROR(INDEX('10'!C$300:C$400,MATCH("*"&amp;F60&amp;"*",'10'!B$300:B$400,0)),"  ")</f>
        <v xml:space="preserve">  </v>
      </c>
      <c r="Z60" s="236" t="str">
        <f>IFERROR(INDEX('11'!C$300:C$400,MATCH("*"&amp;F60&amp;"*",'11'!B$300:B$400,0)),"  ")</f>
        <v xml:space="preserve">  </v>
      </c>
      <c r="AA60" s="237" t="str">
        <f>IFERROR(INDEX('12'!C$300:C$400,MATCH("*"&amp;F60&amp;"*",'12'!B$300:B$400,0)),"  ")</f>
        <v xml:space="preserve">  </v>
      </c>
      <c r="AB60" s="237" t="str">
        <f>IFERROR(INDEX('13'!C$300:C$400,MATCH("*"&amp;F60&amp;"*",'13'!B$300:B$400,0)),"  ")</f>
        <v xml:space="preserve">  </v>
      </c>
      <c r="AC60" s="239">
        <f t="shared" ca="1" si="27"/>
        <v>1</v>
      </c>
      <c r="AD60" s="239">
        <f t="shared" ca="1" si="28"/>
        <v>0</v>
      </c>
      <c r="AE60" s="239">
        <f t="shared" ca="1" si="29"/>
        <v>0</v>
      </c>
      <c r="AF60" s="240">
        <f t="shared" si="30"/>
        <v>1E-4</v>
      </c>
      <c r="AG60" s="240">
        <f t="shared" si="31"/>
        <v>2.0000000000000001E-4</v>
      </c>
      <c r="AH60" s="240">
        <f t="shared" ca="1" si="32"/>
        <v>6.9999999999999999E-4</v>
      </c>
      <c r="AI60" s="240">
        <f t="shared" ca="1" si="33"/>
        <v>8.0000000000000004E-4</v>
      </c>
      <c r="AJ60" s="171"/>
    </row>
    <row r="61" spans="1:36" x14ac:dyDescent="0.2">
      <c r="A61" s="225">
        <f t="shared" ca="1" si="17"/>
        <v>10</v>
      </c>
      <c r="B61" s="226">
        <f t="shared" ca="1" si="18"/>
        <v>55</v>
      </c>
      <c r="C61" s="227" t="str">
        <f t="shared" si="19"/>
        <v/>
      </c>
      <c r="D61" s="228" t="str">
        <f t="shared" si="20"/>
        <v/>
      </c>
      <c r="E61" s="229">
        <f t="shared" ca="1" si="21"/>
        <v>53</v>
      </c>
      <c r="F61" s="245" t="s">
        <v>140</v>
      </c>
      <c r="G61" s="230" t="s">
        <v>119</v>
      </c>
      <c r="H61" s="231"/>
      <c r="I61" s="232">
        <f t="array" aca="1" ref="I61" ca="1">(IF(COUNT(P61,R61,Y61,AA61)&lt;3,SUM(P61,R61,Y61,AA61),SUM(LARGE((P61,R61,Y61,AA61),{1;2;3}))))+(IF(COUNT(Q61,S61,T61,X61)&lt;3,SUM(Q61,S61,T61,X61),SUM(LARGE((Q61,S61,T61,X61),{1;2;3}))))+(IF(COUNT(U61,V61,W61,Z61,AB61)&lt;3,SUM(U61,V61,W61,Z61,AB61),SUM(LARGE((U61,V61,W61,Z61,AB61),{1;2;3}))))</f>
        <v>1</v>
      </c>
      <c r="J61" s="233" t="str">
        <f ca="1">INDEX(ETAPP!B$1:B$32,MATCH(COUNTIF(P61:AB61,PIV!A$1),ETAPP!A$1:A$32,0))&amp;INDEX(ETAPP!B$1:B$32,MATCH(COUNTIF(P61:AB61,PIV!A$2),ETAPP!A$1:A$32,0))&amp;INDEX(ETAPP!B$1:B$32,MATCH(COUNTIF(P61:AB61,PIV!A$3),ETAPP!A$1:A$32,0))&amp;INDEX(ETAPP!B$1:B$32,MATCH(COUNTIF(P61:AB61,PIV!A$4),ETAPP!A$1:A$32,0))&amp;INDEX(ETAPP!B$1:B$32,MATCH(COUNTIF(P61:AB61,PIV!A$5),ETAPP!A$1:A$32,0))&amp;INDEX(ETAPP!B$1:B$32,MATCH(COUNTIF(P61:AB61,PIV!A$6),ETAPP!A$1:A$32,0))&amp;INDEX(ETAPP!B$1:B$32,MATCH(COUNTIF(P61:AB61,PIV!A$7),ETAPP!A$1:A$32,0))&amp;INDEX(ETAPP!B$1:B$32,MATCH(COUNTIF(P61:AB61,PIV!A$8),ETAPP!A$1:A$32,0))&amp;INDEX(ETAPP!B$1:B$32,MATCH(COUNTIF(P61:AB61,PIV!A$9),ETAPP!A$1:A$32,0))&amp;INDEX(ETAPP!B$1:B$32,MATCH(COUNTIF(P61:AB61,PIV!A$10),ETAPP!A$1:A$32,0))&amp;INDEX(ETAPP!B$1:B$32,MATCH(COUNTIF(P61:AB61,PIV!A$11),ETAPP!A$1:A$32,0))&amp;INDEX(ETAPP!B$1:B$32,MATCH(COUNTIF(P61:AB61,PIV!A$12),ETAPP!A$1:A$32,0))&amp;INDEX(ETAPP!B$1:B$32,MATCH(COUNTIF(P61:AB61,PIV!A$13),ETAPP!A$1:A$32,0))&amp;INDEX(ETAPP!B$1:B$32,MATCH(COUNTIF(P61:AB61,PIV!A$14),ETAPP!A$1:A$32,0))&amp;INDEX(ETAPP!B$1:B$32,MATCH(COUNTIF(P61:AB61,PIV!A$15),ETAPP!A$1:A$32,0))&amp;INDEX(ETAPP!B$1:B$32,MATCH(COUNTIF(P61:AB61,PIV!A$16),ETAPP!A$1:A$32,0))&amp;INDEX(ETAPP!B$1:B$32,MATCH(COUNTIF(P61:AB61,PIV!A$17),ETAPP!A$1:A$32,0))&amp;INDEX(ETAPP!B$1:B$32,MATCH(COUNTIF(P61:AB61,PIV!A$18),ETAPP!A$1:A$32,0))&amp;INDEX(ETAPP!B$1:B$32,MATCH(COUNTIF(P61:AB61,PIV!A$19),ETAPP!A$1:A$32,0))</f>
        <v>0000000000000000A0G</v>
      </c>
      <c r="K61" s="233" t="str">
        <f t="shared" ca="1" si="22"/>
        <v>001,0-0000000000000000A0G</v>
      </c>
      <c r="L61" s="234">
        <f t="shared" ca="1" si="23"/>
        <v>55</v>
      </c>
      <c r="M61" s="234">
        <f t="shared" si="24"/>
        <v>28</v>
      </c>
      <c r="N61" s="233" t="str">
        <f t="shared" ca="1" si="25"/>
        <v>001,0-0000000000000000A0G-028</v>
      </c>
      <c r="O61" s="235">
        <f t="shared" ca="1" si="26"/>
        <v>2</v>
      </c>
      <c r="P61" s="236" t="str">
        <f>IFERROR(INDEX('1'!C$300:C$400,MATCH("*"&amp;F61&amp;"*",'1'!B$300:B$400,0)),"  ")</f>
        <v xml:space="preserve">  </v>
      </c>
      <c r="Q61" s="237" t="str">
        <f>IFERROR(INDEX('2'!C$300:C$400,MATCH("*"&amp;F61&amp;"*",'2'!B$300:B$400,0)),"  ")</f>
        <v xml:space="preserve">  </v>
      </c>
      <c r="R61" s="237" t="str">
        <f>IFERROR(INDEX('3'!C$300:C$400,MATCH("*"&amp;F61&amp;"*",'3'!B$300:B$400,0)),"  ")</f>
        <v xml:space="preserve">  </v>
      </c>
      <c r="S61" s="237" t="str">
        <f>IFERROR(INDEX('4'!C$300:C$400,MATCH("*"&amp;F61&amp;"*",'4'!B$300:B$400,0)),"  ")</f>
        <v xml:space="preserve">  </v>
      </c>
      <c r="T61" s="237" t="str">
        <f>IFERROR(INDEX('5'!C$300:C$400,MATCH("*"&amp;F61&amp;"*",'5'!B$300:B$400,0)),"  ")</f>
        <v xml:space="preserve">  </v>
      </c>
      <c r="U61" s="237" t="str">
        <f>IFERROR(INDEX('6'!C$300:C$400,MATCH("*"&amp;F61&amp;"*",'6'!B$300:B$400,0)),"  ")</f>
        <v xml:space="preserve">  </v>
      </c>
      <c r="V61" s="237">
        <f>IFERROR(INDEX('7'!C$300:C$400,MATCH("*"&amp;F61&amp;"*",'7'!B$300:B$400,0)),"  ")</f>
        <v>1</v>
      </c>
      <c r="W61" s="237" t="str">
        <f ca="1">IFERROR(INDEX('8'!C$300:C$400,MATCH("*"&amp;F61&amp;"*",'8'!B$300:B$400,0)),"  ")</f>
        <v xml:space="preserve">  </v>
      </c>
      <c r="X61" s="237" t="str">
        <f>IFERROR(INDEX('9'!C$300:C$400,MATCH("*"&amp;F61&amp;"*",'9'!B$300:B$400,0)),"  ")</f>
        <v xml:space="preserve">  </v>
      </c>
      <c r="Y61" s="237" t="str">
        <f>IFERROR(INDEX('10'!C$300:C$400,MATCH("*"&amp;F61&amp;"*",'10'!B$300:B$400,0)),"  ")</f>
        <v xml:space="preserve">  </v>
      </c>
      <c r="Z61" s="236" t="str">
        <f>IFERROR(INDEX('11'!C$300:C$400,MATCH("*"&amp;F61&amp;"*",'11'!B$300:B$400,0)),"  ")</f>
        <v xml:space="preserve">  </v>
      </c>
      <c r="AA61" s="237" t="str">
        <f>IFERROR(INDEX('12'!C$300:C$400,MATCH("*"&amp;F61&amp;"*",'12'!B$300:B$400,0)),"  ")</f>
        <v xml:space="preserve">  </v>
      </c>
      <c r="AB61" s="237" t="str">
        <f>IFERROR(INDEX('13'!C$300:C$400,MATCH("*"&amp;F61&amp;"*",'13'!B$300:B$400,0)),"  ")</f>
        <v xml:space="preserve">  </v>
      </c>
      <c r="AC61" s="239">
        <f t="shared" ca="1" si="27"/>
        <v>1</v>
      </c>
      <c r="AD61" s="239">
        <f t="shared" ca="1" si="28"/>
        <v>0</v>
      </c>
      <c r="AE61" s="239">
        <f t="shared" ca="1" si="29"/>
        <v>0</v>
      </c>
      <c r="AF61" s="240">
        <f t="shared" si="30"/>
        <v>1E-4</v>
      </c>
      <c r="AG61" s="240">
        <f t="shared" si="31"/>
        <v>2.0000000000000001E-4</v>
      </c>
      <c r="AH61" s="240">
        <f t="shared" ca="1" si="32"/>
        <v>5.9999999999999995E-4</v>
      </c>
      <c r="AI61" s="240">
        <f t="shared" ca="1" si="33"/>
        <v>8.0000000000000004E-4</v>
      </c>
      <c r="AJ61" s="171"/>
    </row>
    <row r="62" spans="1:36" x14ac:dyDescent="0.2">
      <c r="A62" s="225">
        <f t="shared" ca="1" si="17"/>
        <v>10</v>
      </c>
      <c r="B62" s="226">
        <f t="shared" ca="1" si="18"/>
        <v>55</v>
      </c>
      <c r="C62" s="227" t="str">
        <f t="shared" si="19"/>
        <v/>
      </c>
      <c r="D62" s="228" t="str">
        <f t="shared" si="20"/>
        <v/>
      </c>
      <c r="E62" s="229">
        <f t="shared" ca="1" si="21"/>
        <v>53</v>
      </c>
      <c r="F62" s="245" t="s">
        <v>474</v>
      </c>
      <c r="G62" s="230" t="s">
        <v>119</v>
      </c>
      <c r="H62" s="231"/>
      <c r="I62" s="232">
        <f t="array" aca="1" ref="I62" ca="1">(IF(COUNT(P62,R62,Y62,AA62)&lt;3,SUM(P62,R62,Y62,AA62),SUM(LARGE((P62,R62,Y62,AA62),{1;2;3}))))+(IF(COUNT(Q62,S62,T62,X62)&lt;3,SUM(Q62,S62,T62,X62),SUM(LARGE((Q62,S62,T62,X62),{1;2;3}))))+(IF(COUNT(U62,V62,W62,Z62,AB62)&lt;3,SUM(U62,V62,W62,Z62,AB62),SUM(LARGE((U62,V62,W62,Z62,AB62),{1;2;3}))))</f>
        <v>1</v>
      </c>
      <c r="J62" s="233" t="str">
        <f ca="1">INDEX(ETAPP!B$1:B$32,MATCH(COUNTIF(P62:AB62,PIV!A$1),ETAPP!A$1:A$32,0))&amp;INDEX(ETAPP!B$1:B$32,MATCH(COUNTIF(P62:AB62,PIV!A$2),ETAPP!A$1:A$32,0))&amp;INDEX(ETAPP!B$1:B$32,MATCH(COUNTIF(P62:AB62,PIV!A$3),ETAPP!A$1:A$32,0))&amp;INDEX(ETAPP!B$1:B$32,MATCH(COUNTIF(P62:AB62,PIV!A$4),ETAPP!A$1:A$32,0))&amp;INDEX(ETAPP!B$1:B$32,MATCH(COUNTIF(P62:AB62,PIV!A$5),ETAPP!A$1:A$32,0))&amp;INDEX(ETAPP!B$1:B$32,MATCH(COUNTIF(P62:AB62,PIV!A$6),ETAPP!A$1:A$32,0))&amp;INDEX(ETAPP!B$1:B$32,MATCH(COUNTIF(P62:AB62,PIV!A$7),ETAPP!A$1:A$32,0))&amp;INDEX(ETAPP!B$1:B$32,MATCH(COUNTIF(P62:AB62,PIV!A$8),ETAPP!A$1:A$32,0))&amp;INDEX(ETAPP!B$1:B$32,MATCH(COUNTIF(P62:AB62,PIV!A$9),ETAPP!A$1:A$32,0))&amp;INDEX(ETAPP!B$1:B$32,MATCH(COUNTIF(P62:AB62,PIV!A$10),ETAPP!A$1:A$32,0))&amp;INDEX(ETAPP!B$1:B$32,MATCH(COUNTIF(P62:AB62,PIV!A$11),ETAPP!A$1:A$32,0))&amp;INDEX(ETAPP!B$1:B$32,MATCH(COUNTIF(P62:AB62,PIV!A$12),ETAPP!A$1:A$32,0))&amp;INDEX(ETAPP!B$1:B$32,MATCH(COUNTIF(P62:AB62,PIV!A$13),ETAPP!A$1:A$32,0))&amp;INDEX(ETAPP!B$1:B$32,MATCH(COUNTIF(P62:AB62,PIV!A$14),ETAPP!A$1:A$32,0))&amp;INDEX(ETAPP!B$1:B$32,MATCH(COUNTIF(P62:AB62,PIV!A$15),ETAPP!A$1:A$32,0))&amp;INDEX(ETAPP!B$1:B$32,MATCH(COUNTIF(P62:AB62,PIV!A$16),ETAPP!A$1:A$32,0))&amp;INDEX(ETAPP!B$1:B$32,MATCH(COUNTIF(P62:AB62,PIV!A$17),ETAPP!A$1:A$32,0))&amp;INDEX(ETAPP!B$1:B$32,MATCH(COUNTIF(P62:AB62,PIV!A$18),ETAPP!A$1:A$32,0))&amp;INDEX(ETAPP!B$1:B$32,MATCH(COUNTIF(P62:AB62,PIV!A$19),ETAPP!A$1:A$32,0))</f>
        <v>0000000000000000A0G</v>
      </c>
      <c r="K62" s="233" t="str">
        <f t="shared" ca="1" si="22"/>
        <v>001,0-0000000000000000A0G</v>
      </c>
      <c r="L62" s="234">
        <f t="shared" ca="1" si="23"/>
        <v>55</v>
      </c>
      <c r="M62" s="234">
        <f t="shared" si="24"/>
        <v>3</v>
      </c>
      <c r="N62" s="233" t="str">
        <f t="shared" ca="1" si="25"/>
        <v>001,0-0000000000000000A0G-003</v>
      </c>
      <c r="O62" s="235">
        <f t="shared" ca="1" si="26"/>
        <v>1</v>
      </c>
      <c r="P62" s="236" t="str">
        <f>IFERROR(INDEX('1'!C$300:C$400,MATCH("*"&amp;F62&amp;"*",'1'!B$300:B$400,0)),"  ")</f>
        <v xml:space="preserve">  </v>
      </c>
      <c r="Q62" s="237" t="str">
        <f>IFERROR(INDEX('2'!C$300:C$400,MATCH("*"&amp;F62&amp;"*",'2'!B$300:B$400,0)),"  ")</f>
        <v xml:space="preserve">  </v>
      </c>
      <c r="R62" s="237" t="str">
        <f>IFERROR(INDEX('3'!C$300:C$400,MATCH("*"&amp;F62&amp;"*",'3'!B$300:B$400,0)),"  ")</f>
        <v xml:space="preserve">  </v>
      </c>
      <c r="S62" s="237" t="str">
        <f>IFERROR(INDEX('4'!C$300:C$400,MATCH("*"&amp;F62&amp;"*",'4'!B$300:B$400,0)),"  ")</f>
        <v xml:space="preserve">  </v>
      </c>
      <c r="T62" s="237" t="str">
        <f>IFERROR(INDEX('5'!C$300:C$400,MATCH("*"&amp;F62&amp;"*",'5'!B$300:B$400,0)),"  ")</f>
        <v xml:space="preserve">  </v>
      </c>
      <c r="U62" s="237" t="str">
        <f>IFERROR(INDEX('6'!C$300:C$400,MATCH("*"&amp;F62&amp;"*",'6'!B$300:B$400,0)),"  ")</f>
        <v xml:space="preserve">  </v>
      </c>
      <c r="V62" s="237">
        <f>IFERROR(INDEX('7'!C$300:C$400,MATCH("*"&amp;F62&amp;"*",'7'!B$300:B$400,0)),"  ")</f>
        <v>1</v>
      </c>
      <c r="W62" s="237" t="str">
        <f ca="1">IFERROR(INDEX('8'!C$300:C$400,MATCH("*"&amp;F62&amp;"*",'8'!B$300:B$400,0)),"  ")</f>
        <v xml:space="preserve">  </v>
      </c>
      <c r="X62" s="237" t="str">
        <f>IFERROR(INDEX('9'!C$300:C$400,MATCH("*"&amp;F62&amp;"*",'9'!B$300:B$400,0)),"  ")</f>
        <v xml:space="preserve">  </v>
      </c>
      <c r="Y62" s="237" t="str">
        <f>IFERROR(INDEX('10'!C$300:C$400,MATCH("*"&amp;F62&amp;"*",'10'!B$300:B$400,0)),"  ")</f>
        <v xml:space="preserve">  </v>
      </c>
      <c r="Z62" s="236" t="str">
        <f>IFERROR(INDEX('11'!C$300:C$400,MATCH("*"&amp;F62&amp;"*",'11'!B$300:B$400,0)),"  ")</f>
        <v xml:space="preserve">  </v>
      </c>
      <c r="AA62" s="237" t="str">
        <f>IFERROR(INDEX('12'!C$300:C$400,MATCH("*"&amp;F62&amp;"*",'12'!B$300:B$400,0)),"  ")</f>
        <v xml:space="preserve">  </v>
      </c>
      <c r="AB62" s="237" t="str">
        <f>IFERROR(INDEX('13'!C$300:C$400,MATCH("*"&amp;F62&amp;"*",'13'!B$300:B$400,0)),"  ")</f>
        <v xml:space="preserve">  </v>
      </c>
      <c r="AC62" s="239">
        <f t="shared" ca="1" si="27"/>
        <v>1</v>
      </c>
      <c r="AD62" s="239">
        <f t="shared" ca="1" si="28"/>
        <v>0</v>
      </c>
      <c r="AE62" s="239">
        <f t="shared" ca="1" si="29"/>
        <v>0</v>
      </c>
      <c r="AF62" s="240">
        <f t="shared" si="30"/>
        <v>1E-4</v>
      </c>
      <c r="AG62" s="240">
        <f t="shared" si="31"/>
        <v>2.0000000000000001E-4</v>
      </c>
      <c r="AH62" s="240">
        <f t="shared" ca="1" si="32"/>
        <v>5.9999999999999995E-4</v>
      </c>
      <c r="AI62" s="240">
        <f t="shared" ca="1" si="33"/>
        <v>8.0000000000000004E-4</v>
      </c>
      <c r="AJ62" s="171"/>
    </row>
    <row r="63" spans="1:36" x14ac:dyDescent="0.2">
      <c r="A63" s="253">
        <f ca="1">COUNTIFS(A8:A62,"&gt;0",I8:I62,"&gt;0")</f>
        <v>11</v>
      </c>
      <c r="B63" s="253">
        <f ca="1">COUNTIFS(B8:B62,"&gt;0",J8:J62,"&gt;0")</f>
        <v>0</v>
      </c>
      <c r="C63" s="254">
        <f ca="1">COUNTIFS(C8:C62,"&gt;0",I8:I62,"&gt;0")</f>
        <v>3</v>
      </c>
      <c r="D63" s="254"/>
      <c r="E63" s="255">
        <f ca="1">COUNTIF(I8:I62,"&gt;0")</f>
        <v>55</v>
      </c>
      <c r="F63" s="256" t="s">
        <v>159</v>
      </c>
      <c r="G63" s="172"/>
      <c r="H63" s="172"/>
      <c r="I63" s="257"/>
      <c r="J63" s="257"/>
      <c r="K63" s="257"/>
      <c r="L63" s="257"/>
      <c r="M63" s="257"/>
      <c r="N63" s="257"/>
      <c r="O63" s="257"/>
      <c r="P63" s="258">
        <f t="shared" ref="P63:AB63" si="34">COUNTIF(P8:P62,"&gt;=0")</f>
        <v>24</v>
      </c>
      <c r="Q63" s="258">
        <f t="shared" si="34"/>
        <v>29</v>
      </c>
      <c r="R63" s="258">
        <f t="shared" si="34"/>
        <v>37</v>
      </c>
      <c r="S63" s="258">
        <f t="shared" si="34"/>
        <v>31</v>
      </c>
      <c r="T63" s="258">
        <f t="shared" si="34"/>
        <v>22</v>
      </c>
      <c r="U63" s="258">
        <f t="shared" si="34"/>
        <v>21</v>
      </c>
      <c r="V63" s="258">
        <f t="shared" si="34"/>
        <v>24</v>
      </c>
      <c r="W63" s="258">
        <f t="shared" ca="1" si="34"/>
        <v>11</v>
      </c>
      <c r="X63" s="258">
        <f t="shared" si="34"/>
        <v>26</v>
      </c>
      <c r="Y63" s="258">
        <f t="shared" si="34"/>
        <v>21</v>
      </c>
      <c r="Z63" s="258">
        <f t="shared" si="34"/>
        <v>21</v>
      </c>
      <c r="AA63" s="258">
        <f t="shared" si="34"/>
        <v>27</v>
      </c>
      <c r="AB63" s="258">
        <f t="shared" si="34"/>
        <v>26</v>
      </c>
      <c r="AC63" s="172"/>
      <c r="AD63" s="259">
        <f ca="1">SUM(AD8:AD62)</f>
        <v>76</v>
      </c>
      <c r="AE63" s="259">
        <f ca="1">SUM(AE8:AE62)</f>
        <v>25</v>
      </c>
      <c r="AF63" s="171"/>
      <c r="AG63" s="171"/>
      <c r="AH63" s="171"/>
      <c r="AI63" s="171"/>
      <c r="AJ63" s="171"/>
    </row>
    <row r="64" spans="1:36" x14ac:dyDescent="0.2">
      <c r="A64" s="172"/>
      <c r="B64" s="172"/>
      <c r="C64" s="260"/>
      <c r="D64" s="260"/>
      <c r="E64" s="172"/>
      <c r="F64" s="256" t="s">
        <v>160</v>
      </c>
      <c r="G64" s="172"/>
      <c r="H64" s="172"/>
      <c r="I64" s="257"/>
      <c r="J64" s="257"/>
      <c r="K64" s="257"/>
      <c r="L64" s="257"/>
      <c r="M64" s="257"/>
      <c r="N64" s="257"/>
      <c r="O64" s="257"/>
      <c r="P64" s="261">
        <f>IF((P63/(LEN(P6)-LEN(SUBSTITUTE(P6,"*","")))-0.5)&lt;0,"",P63/(LEN(P6)-LEN(SUBSTITUTE(P6,"*","")))-0.5)</f>
        <v>7.5</v>
      </c>
      <c r="Q64" s="261">
        <f>IF((Q63/(LEN(Q6)-LEN(SUBSTITUTE(Q6,"*","")))-0.5)&lt;0,"",Q63/(LEN(Q6)-LEN(SUBSTITUTE(Q6,"*","")))-0.5)</f>
        <v>14</v>
      </c>
      <c r="R64" s="261">
        <f>IF((R63/(LEN(R6)-LEN(SUBSTITUTE(R6,"*","")))-0.5)&lt;0,"",R63/(LEN(R6)-LEN(SUBSTITUTE(R6,"*","")))-0.5)</f>
        <v>11.833333333333334</v>
      </c>
      <c r="S64" s="261">
        <f>IF((S63/(LEN(S6)-LEN(SUBSTITUTE(S6,"*","")))-0.5)&lt;0,"",S63/(LEN(S6)-LEN(SUBSTITUTE(S6,"*","")))-0.5)</f>
        <v>15</v>
      </c>
      <c r="T64" s="261">
        <f>IF((T63/(LEN(T6)-LEN(SUBSTITUTE(T6,"*","")))-0.5)&lt;0,"",T63/(LEN(T6)-LEN(SUBSTITUTE(T6,"*","")))-0.5)</f>
        <v>10.5</v>
      </c>
      <c r="U64" s="261"/>
      <c r="V64" s="261"/>
      <c r="W64" s="261"/>
      <c r="X64" s="261">
        <f>IF((X63/(LEN(X6)-LEN(SUBSTITUTE(X6,"*","")))-0.5)&lt;0,"",X63/(LEN(X6)-LEN(SUBSTITUTE(X6,"*","")))-0.5)</f>
        <v>12.5</v>
      </c>
      <c r="Y64" s="261">
        <f>IF((Y63/(LEN(Y6)-LEN(SUBSTITUTE(Y6,"*","")))-0.5)&lt;0,"",Y63/(LEN(Y6)-LEN(SUBSTITUTE(Y6,"*","")))-0.5)</f>
        <v>6.5</v>
      </c>
      <c r="Z64" s="261"/>
      <c r="AA64" s="261">
        <f>IF((AA63/(LEN(AA6)-LEN(SUBSTITUTE(AA6,"*","")))-0.5)&lt;0,"",AA63/(LEN(AA6)-LEN(SUBSTITUTE(AA6,"*","")))-0.5)</f>
        <v>8.5</v>
      </c>
      <c r="AB64" s="261"/>
      <c r="AC64" s="172"/>
      <c r="AD64" s="172"/>
      <c r="AE64" s="172"/>
      <c r="AF64" s="171"/>
      <c r="AG64" s="171"/>
      <c r="AH64" s="171"/>
      <c r="AI64" s="171"/>
      <c r="AJ64" s="171"/>
    </row>
    <row r="65" spans="1:36" x14ac:dyDescent="0.2">
      <c r="A65" s="171"/>
      <c r="B65" s="171"/>
      <c r="C65" s="179"/>
      <c r="D65" s="179"/>
      <c r="E65" s="171"/>
      <c r="F65" s="182"/>
      <c r="G65" s="171"/>
      <c r="H65" s="171"/>
      <c r="I65" s="251"/>
      <c r="J65" s="251"/>
      <c r="K65" s="251"/>
      <c r="L65" s="251"/>
      <c r="M65" s="251"/>
      <c r="N65" s="251"/>
      <c r="O65" s="251"/>
      <c r="P65" s="262"/>
      <c r="Q65" s="262"/>
      <c r="R65" s="262"/>
      <c r="T65" s="262"/>
      <c r="U65" s="262"/>
      <c r="V65" s="262"/>
      <c r="W65" s="262"/>
      <c r="X65" s="262"/>
      <c r="Y65" s="262"/>
      <c r="Z65" s="262"/>
      <c r="AA65" s="262"/>
      <c r="AB65" s="262"/>
      <c r="AC65" s="171"/>
      <c r="AD65" s="171"/>
      <c r="AE65" s="171"/>
      <c r="AF65" s="171"/>
      <c r="AG65" s="171"/>
      <c r="AH65" s="171"/>
      <c r="AI65" s="171"/>
      <c r="AJ65" s="171"/>
    </row>
    <row r="66" spans="1:36" x14ac:dyDescent="0.2">
      <c r="A66" s="179"/>
      <c r="B66" s="179"/>
      <c r="C66" s="171"/>
      <c r="D66" s="171"/>
      <c r="E66" s="171"/>
      <c r="F66" s="263" t="s">
        <v>161</v>
      </c>
      <c r="G66" s="171"/>
      <c r="H66" s="171"/>
      <c r="I66" s="179"/>
      <c r="J66" s="179"/>
      <c r="K66" s="179"/>
      <c r="L66" s="179"/>
      <c r="M66" s="179"/>
      <c r="N66" s="179"/>
      <c r="O66" s="179"/>
      <c r="P66" s="179"/>
      <c r="Q66" s="179"/>
      <c r="R66" s="179"/>
      <c r="T66" s="179"/>
      <c r="U66" s="179"/>
      <c r="V66" s="179"/>
      <c r="W66" s="179"/>
      <c r="X66" s="179"/>
      <c r="Y66" s="179"/>
      <c r="Z66" s="179"/>
      <c r="AA66" s="179"/>
      <c r="AB66" s="179"/>
      <c r="AC66" s="171"/>
      <c r="AD66" s="171"/>
      <c r="AE66" s="171"/>
      <c r="AF66" s="171"/>
      <c r="AG66" s="171"/>
      <c r="AH66" s="171"/>
      <c r="AI66" s="171"/>
      <c r="AJ66" s="171"/>
    </row>
    <row r="67" spans="1:36" x14ac:dyDescent="0.2">
      <c r="A67" s="179"/>
      <c r="B67" s="179"/>
      <c r="C67" s="171"/>
      <c r="D67" s="171"/>
      <c r="E67" s="171"/>
      <c r="F67" s="263" t="s">
        <v>162</v>
      </c>
      <c r="G67" s="171"/>
      <c r="H67" s="171"/>
      <c r="I67" s="179"/>
      <c r="J67" s="179"/>
      <c r="K67" s="179"/>
      <c r="L67" s="179"/>
      <c r="M67" s="179"/>
      <c r="N67" s="179"/>
      <c r="O67" s="179"/>
      <c r="P67" s="179"/>
      <c r="Q67" s="179"/>
      <c r="R67" s="179"/>
      <c r="T67" s="179"/>
      <c r="U67" s="179"/>
      <c r="V67" s="179"/>
      <c r="W67" s="179"/>
      <c r="X67" s="179"/>
      <c r="Y67" s="179"/>
      <c r="Z67" s="179"/>
      <c r="AA67" s="179"/>
      <c r="AB67" s="179"/>
      <c r="AC67" s="171"/>
      <c r="AD67" s="171"/>
      <c r="AE67" s="171"/>
      <c r="AF67" s="171"/>
      <c r="AG67" s="171"/>
      <c r="AH67" s="171"/>
      <c r="AI67" s="171"/>
      <c r="AJ67" s="171"/>
    </row>
    <row r="68" spans="1:36" x14ac:dyDescent="0.2">
      <c r="A68" s="179"/>
      <c r="B68" s="179"/>
      <c r="C68" s="171"/>
      <c r="D68" s="171"/>
      <c r="E68" s="171"/>
      <c r="F68" s="264" t="s">
        <v>163</v>
      </c>
      <c r="G68" s="171"/>
      <c r="H68" s="171"/>
      <c r="I68" s="179"/>
      <c r="J68" s="179"/>
      <c r="K68" s="179"/>
      <c r="L68" s="179"/>
      <c r="M68" s="179"/>
      <c r="N68" s="179"/>
      <c r="O68" s="179"/>
      <c r="P68" s="179"/>
      <c r="Q68" s="179"/>
      <c r="R68" s="179"/>
      <c r="T68" s="179"/>
      <c r="U68" s="179"/>
      <c r="V68" s="179"/>
      <c r="W68" s="179"/>
      <c r="X68" s="179"/>
      <c r="Y68" s="179"/>
      <c r="Z68" s="179"/>
      <c r="AA68" s="179"/>
      <c r="AB68" s="179"/>
      <c r="AC68" s="171"/>
      <c r="AD68" s="171"/>
      <c r="AE68" s="171"/>
      <c r="AF68" s="171"/>
      <c r="AG68" s="171"/>
      <c r="AH68" s="171"/>
      <c r="AI68" s="171"/>
      <c r="AJ68" s="171"/>
    </row>
    <row r="69" spans="1:36" x14ac:dyDescent="0.2">
      <c r="A69" s="179"/>
      <c r="B69" s="179"/>
      <c r="C69" s="171"/>
      <c r="D69" s="171"/>
      <c r="E69" s="171"/>
      <c r="F69" s="171"/>
      <c r="G69" s="171"/>
      <c r="H69" s="171"/>
      <c r="I69" s="179"/>
      <c r="J69" s="179"/>
      <c r="K69" s="179"/>
      <c r="L69" s="179"/>
      <c r="M69" s="179"/>
      <c r="N69" s="179"/>
      <c r="O69" s="179"/>
      <c r="P69" s="179"/>
      <c r="Q69" s="179"/>
      <c r="R69" s="179"/>
      <c r="T69" s="179"/>
      <c r="U69" s="179"/>
      <c r="V69" s="179"/>
      <c r="W69" s="179"/>
      <c r="X69" s="179"/>
      <c r="Y69" s="179"/>
      <c r="Z69" s="179"/>
      <c r="AA69" s="179"/>
      <c r="AB69" s="179"/>
      <c r="AC69" s="171"/>
      <c r="AD69" s="171"/>
      <c r="AE69" s="171"/>
      <c r="AF69" s="171"/>
      <c r="AG69" s="171"/>
      <c r="AH69" s="171"/>
      <c r="AI69" s="171"/>
      <c r="AJ69" s="171"/>
    </row>
    <row r="70" spans="1:36" x14ac:dyDescent="0.2">
      <c r="A70" s="179"/>
      <c r="B70" s="179"/>
      <c r="C70" s="171"/>
      <c r="D70" s="171"/>
      <c r="E70" s="171"/>
      <c r="F70" s="265" t="s">
        <v>542</v>
      </c>
      <c r="G70" s="171"/>
      <c r="H70" s="171"/>
      <c r="I70" s="179"/>
      <c r="J70" s="179"/>
      <c r="K70" s="179"/>
      <c r="L70" s="179"/>
      <c r="M70" s="179"/>
      <c r="N70" s="179"/>
      <c r="O70" s="179"/>
      <c r="P70" s="179"/>
      <c r="Q70" s="179"/>
      <c r="R70" s="179"/>
      <c r="T70" s="179"/>
      <c r="U70" s="179"/>
      <c r="V70" s="179"/>
      <c r="W70" s="179"/>
      <c r="X70" s="179"/>
      <c r="Y70" s="179"/>
      <c r="Z70" s="179"/>
      <c r="AA70" s="179"/>
      <c r="AB70" s="179"/>
      <c r="AC70" s="171"/>
      <c r="AD70" s="171"/>
      <c r="AE70" s="171"/>
      <c r="AF70" s="171"/>
      <c r="AG70" s="171"/>
      <c r="AH70" s="171"/>
      <c r="AI70" s="171"/>
      <c r="AJ70" s="171"/>
    </row>
    <row r="71" spans="1:36" x14ac:dyDescent="0.2">
      <c r="A71" s="171"/>
      <c r="B71" s="171"/>
      <c r="C71" s="179"/>
      <c r="D71" s="179"/>
      <c r="E71" s="171"/>
      <c r="F71" t="s">
        <v>115</v>
      </c>
      <c r="G71" s="171"/>
      <c r="H71" s="171"/>
      <c r="I71" t="s">
        <v>139</v>
      </c>
      <c r="J71" s="251"/>
      <c r="K71" s="251"/>
      <c r="L71" s="251"/>
      <c r="M71" s="251"/>
      <c r="N71" s="251"/>
      <c r="O71" s="251"/>
      <c r="P71" s="179"/>
      <c r="Q71" s="179"/>
      <c r="R71" s="179"/>
      <c r="U71" t="s">
        <v>113</v>
      </c>
      <c r="V71" s="179"/>
      <c r="W71" s="179"/>
      <c r="X71" s="179"/>
      <c r="Z71" s="179"/>
      <c r="AA71" t="s">
        <v>145</v>
      </c>
      <c r="AC71" s="171"/>
      <c r="AD71" s="171"/>
      <c r="AE71" s="171"/>
      <c r="AF71" s="171"/>
      <c r="AG71" s="171"/>
      <c r="AH71" s="171"/>
      <c r="AI71" s="171"/>
    </row>
    <row r="72" spans="1:36" x14ac:dyDescent="0.2">
      <c r="A72" s="171"/>
      <c r="B72" s="171"/>
      <c r="C72" s="179"/>
      <c r="D72" s="179"/>
      <c r="E72" s="171"/>
      <c r="F72" t="s">
        <v>131</v>
      </c>
      <c r="G72" s="171"/>
      <c r="H72" s="171"/>
      <c r="I72" t="s">
        <v>106</v>
      </c>
      <c r="J72" s="251"/>
      <c r="K72" s="251"/>
      <c r="L72" s="251"/>
      <c r="M72" s="251"/>
      <c r="N72" s="251"/>
      <c r="O72" s="251"/>
      <c r="P72" s="179"/>
      <c r="Q72" s="179"/>
      <c r="R72" s="179"/>
      <c r="U72" t="s">
        <v>107</v>
      </c>
      <c r="V72" s="179"/>
      <c r="W72" s="179"/>
      <c r="X72" s="179"/>
      <c r="Z72" s="179"/>
      <c r="AA72" t="s">
        <v>120</v>
      </c>
      <c r="AC72" s="171"/>
      <c r="AD72" s="171"/>
      <c r="AE72" s="171"/>
      <c r="AF72" s="171"/>
      <c r="AG72" s="171"/>
      <c r="AH72" s="171"/>
      <c r="AI72" s="171"/>
    </row>
    <row r="73" spans="1:36" x14ac:dyDescent="0.2">
      <c r="A73" s="171"/>
      <c r="B73" s="171"/>
      <c r="C73" s="179"/>
      <c r="D73" s="179"/>
      <c r="E73" s="171"/>
      <c r="F73" t="s">
        <v>117</v>
      </c>
      <c r="G73" s="171"/>
      <c r="H73" s="171"/>
      <c r="I73" t="s">
        <v>114</v>
      </c>
      <c r="J73" s="251"/>
      <c r="K73" s="251"/>
      <c r="L73" s="251"/>
      <c r="M73" s="251"/>
      <c r="N73" s="251"/>
      <c r="O73" s="251"/>
      <c r="P73" s="179"/>
      <c r="Q73" s="179"/>
      <c r="R73" s="179"/>
      <c r="U73" t="s">
        <v>141</v>
      </c>
      <c r="V73" s="179"/>
      <c r="W73" s="179"/>
      <c r="X73" s="179"/>
      <c r="Z73" s="179"/>
      <c r="AA73" t="s">
        <v>111</v>
      </c>
      <c r="AC73" s="171"/>
      <c r="AD73" s="171"/>
      <c r="AE73" s="171"/>
      <c r="AF73" s="171"/>
      <c r="AG73" s="171"/>
      <c r="AH73" s="171"/>
      <c r="AI73" s="171"/>
    </row>
    <row r="74" spans="1:36" x14ac:dyDescent="0.2">
      <c r="A74" s="171"/>
      <c r="B74" s="171"/>
      <c r="C74" s="179"/>
      <c r="D74" s="179"/>
      <c r="E74" s="171"/>
      <c r="F74" t="s">
        <v>112</v>
      </c>
      <c r="G74" s="171"/>
      <c r="H74" s="171"/>
      <c r="I74" t="s">
        <v>9</v>
      </c>
      <c r="J74" s="251"/>
      <c r="K74" s="251"/>
      <c r="L74" s="251"/>
      <c r="M74" s="251"/>
      <c r="N74" s="251"/>
      <c r="O74" s="251"/>
      <c r="P74" s="179"/>
      <c r="Q74" s="179"/>
      <c r="R74" s="179"/>
      <c r="U74" t="s">
        <v>127</v>
      </c>
      <c r="V74" s="179"/>
      <c r="W74" s="179"/>
      <c r="X74" s="179"/>
      <c r="Z74" s="179"/>
      <c r="AA74" t="s">
        <v>143</v>
      </c>
      <c r="AC74" s="171"/>
      <c r="AD74" s="171"/>
      <c r="AE74" s="171"/>
      <c r="AF74" s="171"/>
      <c r="AG74" s="171"/>
      <c r="AH74" s="171"/>
      <c r="AI74" s="171"/>
    </row>
    <row r="75" spans="1:36" x14ac:dyDescent="0.2">
      <c r="A75" s="171"/>
      <c r="B75" s="171"/>
      <c r="C75" s="179"/>
      <c r="D75" s="179"/>
      <c r="E75" s="171"/>
      <c r="F75" t="s">
        <v>121</v>
      </c>
      <c r="G75" s="171"/>
      <c r="H75" s="171"/>
      <c r="I75" t="s">
        <v>128</v>
      </c>
      <c r="J75" s="251"/>
      <c r="K75" s="251"/>
      <c r="L75" s="251"/>
      <c r="M75" s="251"/>
      <c r="N75" s="251"/>
      <c r="O75" s="251"/>
      <c r="P75" s="179"/>
      <c r="Q75" s="179"/>
      <c r="R75" s="179"/>
      <c r="U75" t="s">
        <v>108</v>
      </c>
      <c r="V75" s="179"/>
      <c r="W75" s="179"/>
      <c r="X75" s="179"/>
      <c r="Z75" s="179"/>
      <c r="AA75" t="s">
        <v>126</v>
      </c>
      <c r="AC75" s="171"/>
      <c r="AD75" s="171"/>
      <c r="AE75" s="171"/>
      <c r="AF75" s="171"/>
      <c r="AG75" s="171"/>
      <c r="AH75" s="171"/>
      <c r="AI75" s="171"/>
    </row>
    <row r="76" spans="1:36" x14ac:dyDescent="0.2">
      <c r="A76" s="171"/>
      <c r="B76" s="171"/>
      <c r="C76" s="179"/>
      <c r="D76" s="179"/>
      <c r="E76" s="171"/>
      <c r="F76" t="s">
        <v>116</v>
      </c>
      <c r="G76" s="171"/>
      <c r="H76" s="171"/>
      <c r="I76" t="s">
        <v>130</v>
      </c>
      <c r="J76" s="251"/>
      <c r="K76" s="251"/>
      <c r="L76" s="251"/>
      <c r="M76" s="251"/>
      <c r="N76" s="251"/>
      <c r="O76" s="251"/>
      <c r="P76" s="179"/>
      <c r="Q76" s="179"/>
      <c r="R76" s="179"/>
      <c r="U76" t="s">
        <v>105</v>
      </c>
      <c r="V76" s="179"/>
      <c r="W76" s="179"/>
      <c r="X76" s="179"/>
      <c r="Z76" s="179"/>
      <c r="AA76" t="s">
        <v>149</v>
      </c>
      <c r="AC76" s="171"/>
      <c r="AD76" s="171"/>
      <c r="AE76" s="171"/>
      <c r="AF76" s="171"/>
      <c r="AG76" s="171"/>
      <c r="AH76" s="171"/>
      <c r="AI76" s="171"/>
    </row>
    <row r="77" spans="1:36" x14ac:dyDescent="0.2">
      <c r="A77" s="171"/>
      <c r="B77" s="171"/>
      <c r="C77" s="179"/>
      <c r="D77" s="179"/>
      <c r="E77" s="171"/>
      <c r="F77" t="s">
        <v>109</v>
      </c>
      <c r="G77" s="171"/>
      <c r="H77" s="171"/>
      <c r="I77" t="s">
        <v>135</v>
      </c>
      <c r="J77" s="251"/>
      <c r="K77" s="251"/>
      <c r="L77" s="251"/>
      <c r="M77" s="251"/>
      <c r="N77" s="251"/>
      <c r="O77" s="251"/>
      <c r="P77" s="179"/>
      <c r="Q77" s="179"/>
      <c r="R77" s="179"/>
      <c r="U77" t="s">
        <v>134</v>
      </c>
      <c r="V77" s="179"/>
      <c r="W77" s="179"/>
      <c r="X77" s="179"/>
      <c r="Z77" s="179"/>
      <c r="AA77" t="s">
        <v>138</v>
      </c>
      <c r="AC77" s="171"/>
      <c r="AD77" s="171"/>
      <c r="AE77" s="171"/>
      <c r="AF77" s="171"/>
      <c r="AG77" s="171"/>
      <c r="AH77" s="171"/>
      <c r="AI77" s="171"/>
    </row>
    <row r="78" spans="1:36" x14ac:dyDescent="0.2">
      <c r="A78" s="171"/>
      <c r="B78" s="171"/>
      <c r="C78" s="179"/>
      <c r="D78" s="179"/>
      <c r="E78" s="171"/>
      <c r="F78" t="s">
        <v>147</v>
      </c>
      <c r="G78" s="171"/>
      <c r="H78" s="171"/>
      <c r="I78" t="s">
        <v>110</v>
      </c>
      <c r="J78" s="251"/>
      <c r="K78" s="251"/>
      <c r="L78" s="251"/>
      <c r="M78" s="251"/>
      <c r="N78" s="251"/>
      <c r="O78" s="251"/>
      <c r="P78" s="179"/>
      <c r="Q78" s="179"/>
      <c r="R78" s="179"/>
      <c r="U78" t="s">
        <v>148</v>
      </c>
      <c r="V78" s="179"/>
      <c r="W78" s="179"/>
      <c r="X78" s="179"/>
      <c r="Z78" s="179"/>
      <c r="AA78" t="s">
        <v>122</v>
      </c>
      <c r="AC78" s="171"/>
      <c r="AD78" s="171"/>
      <c r="AE78" s="171"/>
      <c r="AF78" s="171"/>
      <c r="AG78" s="171"/>
      <c r="AH78" s="171"/>
      <c r="AI78" s="171"/>
    </row>
    <row r="79" spans="1:36" x14ac:dyDescent="0.2">
      <c r="A79" s="171"/>
      <c r="B79" s="171"/>
      <c r="C79" s="179"/>
      <c r="D79" s="179"/>
      <c r="E79" s="171"/>
      <c r="F79" t="s">
        <v>129</v>
      </c>
      <c r="G79" s="171"/>
      <c r="H79" s="171"/>
      <c r="I79" t="s">
        <v>123</v>
      </c>
      <c r="J79" s="251"/>
      <c r="K79" s="251"/>
      <c r="L79" s="251"/>
      <c r="M79" s="251"/>
      <c r="N79" s="251"/>
      <c r="O79" s="251"/>
      <c r="P79" s="179"/>
      <c r="Q79" s="179"/>
      <c r="R79" s="179"/>
      <c r="U79" t="s">
        <v>118</v>
      </c>
      <c r="V79" s="179"/>
      <c r="W79" s="179"/>
      <c r="X79" s="179"/>
      <c r="Z79" s="179"/>
      <c r="AA79" t="s">
        <v>146</v>
      </c>
      <c r="AC79" s="171"/>
      <c r="AD79" s="171"/>
      <c r="AE79" s="171"/>
      <c r="AF79" s="171"/>
      <c r="AG79" s="171"/>
      <c r="AH79" s="171"/>
      <c r="AI79" s="171"/>
    </row>
    <row r="80" spans="1:36" x14ac:dyDescent="0.2">
      <c r="A80" s="171"/>
      <c r="B80" s="171"/>
      <c r="C80" s="179"/>
      <c r="D80" s="179"/>
      <c r="E80" s="171"/>
      <c r="F80" t="s">
        <v>124</v>
      </c>
      <c r="G80" s="171"/>
      <c r="H80" s="171"/>
      <c r="I80" t="s">
        <v>136</v>
      </c>
      <c r="J80" s="251"/>
      <c r="K80" s="251"/>
      <c r="L80" s="251"/>
      <c r="M80" s="251"/>
      <c r="N80" s="251"/>
      <c r="O80" s="251"/>
      <c r="P80" s="179"/>
      <c r="Q80" s="179"/>
      <c r="R80" s="179"/>
      <c r="S80" s="171"/>
      <c r="T80" s="179"/>
      <c r="U80" t="s">
        <v>133</v>
      </c>
      <c r="V80" s="179"/>
      <c r="W80" s="179"/>
      <c r="X80" s="179"/>
      <c r="Y80" s="179"/>
      <c r="Z80" s="179"/>
      <c r="AB80" s="179"/>
      <c r="AC80" s="171"/>
      <c r="AD80" s="171"/>
      <c r="AE80" s="171"/>
      <c r="AF80" s="171"/>
      <c r="AG80" s="171"/>
      <c r="AH80" s="171"/>
      <c r="AI80" s="171"/>
    </row>
    <row r="81" spans="6:21" x14ac:dyDescent="0.2">
      <c r="F81" t="s">
        <v>12</v>
      </c>
      <c r="I81" t="s">
        <v>137</v>
      </c>
      <c r="U81" t="s">
        <v>132</v>
      </c>
    </row>
  </sheetData>
  <autoFilter ref="AC7:AE7"/>
  <sortState ref="A8:AJ96">
    <sortCondition descending="1" ref="O8:O96"/>
  </sortState>
  <mergeCells count="3">
    <mergeCell ref="AC5:AC6"/>
    <mergeCell ref="AD5:AD6"/>
    <mergeCell ref="AE5:AE6"/>
  </mergeCells>
  <conditionalFormatting sqref="P63:AB63">
    <cfRule type="top10" dxfId="3139" priority="527" stopIfTrue="1" rank="1"/>
  </conditionalFormatting>
  <conditionalFormatting sqref="AD8:AD62">
    <cfRule type="top10" dxfId="3138" priority="810" stopIfTrue="1" rank="1"/>
  </conditionalFormatting>
  <conditionalFormatting sqref="AE8:AE62">
    <cfRule type="top10" dxfId="3137" priority="811" stopIfTrue="1" rank="1"/>
  </conditionalFormatting>
  <conditionalFormatting sqref="AC8:AC62">
    <cfRule type="top10" dxfId="3136" priority="812" stopIfTrue="1" rank="1"/>
  </conditionalFormatting>
  <conditionalFormatting sqref="I8:I62">
    <cfRule type="duplicateValues" dxfId="3135" priority="813" stopIfTrue="1"/>
  </conditionalFormatting>
  <conditionalFormatting sqref="E8:E62">
    <cfRule type="expression" dxfId="3134" priority="814">
      <formula>I8=0</formula>
    </cfRule>
    <cfRule type="duplicateValues" dxfId="3133" priority="815" stopIfTrue="1"/>
  </conditionalFormatting>
  <conditionalFormatting sqref="A8:A62">
    <cfRule type="expression" dxfId="3132" priority="816">
      <formula>AND(A8=SMALL(A$8:A$62,1),COUNT($AB$8:$AB$62)&gt;0)</formula>
    </cfRule>
    <cfRule type="expression" dxfId="3131" priority="817">
      <formula>I8=0</formula>
    </cfRule>
    <cfRule type="duplicateValues" dxfId="3130" priority="818"/>
  </conditionalFormatting>
  <conditionalFormatting sqref="C8:C62">
    <cfRule type="expression" dxfId="3129" priority="822">
      <formula>AND(C8=SMALL(C$8:C$62,1),COUNT($AB$8:$AB$62)&gt;0)</formula>
    </cfRule>
    <cfRule type="expression" dxfId="3128" priority="823">
      <formula>I8=0</formula>
    </cfRule>
    <cfRule type="duplicateValues" dxfId="3127" priority="824"/>
  </conditionalFormatting>
  <conditionalFormatting sqref="S8:S62 U8:U62">
    <cfRule type="expression" dxfId="3126" priority="828" stopIfTrue="1">
      <formula>COUNTIF(S$8:S$64,"&gt;0")=0</formula>
    </cfRule>
    <cfRule type="expression" dxfId="3125" priority="829">
      <formula>IF(S8="  ",FALSE,S8)+S$7/10000=$AI8</formula>
    </cfRule>
    <cfRule type="expression" dxfId="3124" priority="830">
      <formula>IF(S8="  ",FALSE,S8)+S$7/10000=$AH8</formula>
    </cfRule>
    <cfRule type="expression" dxfId="3123" priority="831">
      <formula>IF(S8="  ",FALSE,S8)+S$7/10000=$AG8</formula>
    </cfRule>
    <cfRule type="expression" dxfId="3122" priority="832">
      <formula>IF(S8="  ",FALSE,S8)+S$7/10000=$AF8</formula>
    </cfRule>
    <cfRule type="cellIs" dxfId="3121" priority="833" operator="equal">
      <formula>30</formula>
    </cfRule>
    <cfRule type="cellIs" dxfId="3120" priority="834" operator="equal">
      <formula>34</formula>
    </cfRule>
    <cfRule type="cellIs" dxfId="3119" priority="835" operator="equal">
      <formula>40</formula>
    </cfRule>
  </conditionalFormatting>
  <conditionalFormatting sqref="F8:F62">
    <cfRule type="expression" dxfId="3118" priority="924">
      <formula>AND(I8=LARGE(I$8:I$62,3),COUNT(AB$8:AB$62)&gt;0)</formula>
    </cfRule>
    <cfRule type="expression" dxfId="3117" priority="925">
      <formula>AND(I8=LARGE(I$8:I$62,2),COUNT(AB$8:AB$62)&gt;0)</formula>
    </cfRule>
    <cfRule type="expression" dxfId="3116" priority="926">
      <formula>AND(I8=LARGE(I$8:I$62,1),COUNT(AB$8:AB$62)&gt;0)</formula>
    </cfRule>
  </conditionalFormatting>
  <conditionalFormatting sqref="F59:F62 F8:F57">
    <cfRule type="expression" dxfId="3115" priority="930">
      <formula>IF(COUNTIF($F$71:$AA$81,"="&amp;F8),FALSE,TRUE)</formula>
    </cfRule>
    <cfRule type="expression" dxfId="3114" priority="931">
      <formula>H8="j"</formula>
    </cfRule>
    <cfRule type="expression" dxfId="3113" priority="932">
      <formula>G8="n"</formula>
    </cfRule>
    <cfRule type="duplicateValues" dxfId="3112" priority="933" stopIfTrue="1"/>
  </conditionalFormatting>
  <conditionalFormatting sqref="T8:T62 V8:AB62 P8:R62">
    <cfRule type="expression" dxfId="3111" priority="938" stopIfTrue="1">
      <formula>COUNTIF(P$8:P$66,"&gt;0")=0</formula>
    </cfRule>
    <cfRule type="expression" dxfId="3110" priority="939">
      <formula>IF(P8="  ",FALSE,P8)+P$7/10000=$AI8</formula>
    </cfRule>
    <cfRule type="expression" dxfId="3109" priority="940">
      <formula>IF(P8="  ",FALSE,P8)+P$7/10000=$AH8</formula>
    </cfRule>
    <cfRule type="expression" dxfId="3108" priority="941">
      <formula>IF(P8="  ",FALSE,P8)+P$7/10000=$AG8</formula>
    </cfRule>
    <cfRule type="expression" dxfId="3107" priority="942">
      <formula>IF(P8="  ",FALSE,P8)+P$7/10000=$AF8</formula>
    </cfRule>
    <cfRule type="cellIs" dxfId="3106" priority="943" operator="equal">
      <formula>30</formula>
    </cfRule>
    <cfRule type="cellIs" dxfId="3105" priority="944" operator="equal">
      <formula>34</formula>
    </cfRule>
    <cfRule type="cellIs" dxfId="3104" priority="945" operator="equal">
      <formula>40</formula>
    </cfRule>
  </conditionalFormatting>
  <pageMargins left="0.51181102362204722"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pageSetUpPr fitToPage="1"/>
  </sheetPr>
  <dimension ref="A1:AP308"/>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50.570312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6.5703125" hidden="1" customWidth="1"/>
    <col min="33" max="33" width="9.140625" hidden="1" customWidth="1"/>
    <col min="34" max="34" width="33.28515625" hidden="1" customWidth="1"/>
    <col min="35" max="35" width="9.140625" hidden="1" customWidth="1"/>
    <col min="36" max="36" width="18.28515625" hidden="1" customWidth="1"/>
    <col min="37" max="37" width="9.140625" hidden="1" customWidth="1"/>
    <col min="38" max="38" width="15.28515625" hidden="1" customWidth="1"/>
    <col min="39" max="39" width="9.140625" hidden="1" customWidth="1"/>
    <col min="40" max="40" width="17.28515625" hidden="1" customWidth="1"/>
    <col min="41" max="41" width="9.140625" hidden="1" customWidth="1"/>
    <col min="42" max="42" width="13.85546875" hidden="1" customWidth="1"/>
  </cols>
  <sheetData>
    <row r="1" spans="1:42" x14ac:dyDescent="0.2">
      <c r="A1" s="462" t="str">
        <f>UPPER((Kalend!E41)&amp;" - "&amp;(Kalend!C41)&amp;" - "&amp;(Kalend!D41))</f>
        <v>V-T - VIRU SK LIIKMETE MV - TRIO</v>
      </c>
      <c r="E1" s="405"/>
      <c r="F1" s="405"/>
      <c r="G1" s="405"/>
      <c r="H1" s="405"/>
      <c r="I1" s="405"/>
      <c r="J1" s="405"/>
      <c r="K1" s="405"/>
      <c r="L1" s="405"/>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"&amp;(Kalend!A41)&amp;" kell "&amp;(Kalend!B41)</f>
        <v>Toimumisaeg: P, 19.09.2021 kell 11:00</v>
      </c>
      <c r="E2" s="405"/>
      <c r="F2" s="405"/>
      <c r="G2" s="405"/>
      <c r="H2" s="405"/>
      <c r="I2" s="405"/>
      <c r="J2" s="405"/>
      <c r="K2" s="405"/>
      <c r="L2" s="405"/>
      <c r="AD2" s="409"/>
      <c r="AE2" s="409"/>
      <c r="AF2" s="409"/>
      <c r="AG2" s="409"/>
      <c r="AH2" s="409"/>
      <c r="AI2" s="585"/>
      <c r="AJ2" s="409"/>
      <c r="AK2" s="409"/>
      <c r="AL2" s="409"/>
      <c r="AM2" s="409"/>
      <c r="AN2" s="409"/>
    </row>
    <row r="3" spans="1:42" x14ac:dyDescent="0.2">
      <c r="A3" s="409" t="str">
        <f>"Toimumiskoht: "&amp;(Kalend!F41)</f>
        <v>Toimumiskoht: Voka petangihall</v>
      </c>
      <c r="L3" s="410" t="s">
        <v>227</v>
      </c>
      <c r="AD3" s="409"/>
      <c r="AF3" s="409"/>
      <c r="AG3" s="409"/>
      <c r="AH3" s="409"/>
      <c r="AI3" s="409"/>
      <c r="AJ3" s="409"/>
      <c r="AK3" s="409"/>
      <c r="AL3" s="409"/>
      <c r="AM3" s="409"/>
      <c r="AN3" s="409"/>
    </row>
    <row r="4" spans="1:42" x14ac:dyDescent="0.2">
      <c r="A4" s="409" t="str">
        <f>"Korraldaja: "&amp;(Kalend!G41)</f>
        <v>Korraldaja: Johannes Neiland</v>
      </c>
      <c r="AD4" s="927" t="s">
        <v>231</v>
      </c>
    </row>
    <row r="5" spans="1:42"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970"/>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IFERROR(INDEX(V!$R:$R,MATCH(AF6,V!$L:$L,0)),"")</f>
        <v/>
      </c>
      <c r="AF6" s="460" t="str">
        <f>IFERROR(LEFT($B6,(FIND(",",$B6,1)-1)),"")</f>
        <v/>
      </c>
      <c r="AG6" s="459" t="str">
        <f>IFERROR(INDEX(V!$R:$R,MATCH(AH6,V!$L:$L,0)),"")</f>
        <v/>
      </c>
      <c r="AH6" s="460" t="str">
        <f>IFERROR(MID($B6,FIND(", ",$B6)+2,256),"")</f>
        <v/>
      </c>
      <c r="AI6" s="459" t="str">
        <f>IFERROR(INDEX(V!$R:$R,MATCH(AJ6,V!$L:$L,0)),"")</f>
        <v/>
      </c>
      <c r="AJ6" s="460" t="str">
        <f>IFERROR(MID($B6,FIND("^",SUBSTITUTE($B6,", ","^",1))+2,FIND("^",SUBSTITUTE($B6,", ","^",2))-FIND("^",SUBSTITUTE($B6,", ","^",1))-2),"")</f>
        <v/>
      </c>
      <c r="AK6" s="459" t="str">
        <f>IFERROR(INDEX(V!$R:$R,MATCH(AL6,V!$L:$L,0)),"")</f>
        <v/>
      </c>
      <c r="AL6" s="460" t="str">
        <f>IFERROR(MID($B6,FIND(", ",$B6,FIND(", ",$B6,FIND(", ",$B6))+1)+2,30000),"")</f>
        <v/>
      </c>
      <c r="AM6" s="459" t="str">
        <f>IFERROR(INDEX(V!$R:$R,MATCH(AN6,V!$L:$L,0)),"")</f>
        <v/>
      </c>
      <c r="AN6" s="460" t="str">
        <f>IFERROR(MID($B6,FIND(", ",$B6,FIND(", ",$B6)+1)+2,FIND(", ",$B6,FIND(", ",$B6,FIND(", ",$B6)+1)+1)-FIND(", ",$B6,FIND(", ",$B6)+1)-2),"")</f>
        <v/>
      </c>
      <c r="AO6" s="459" t="str">
        <f>IFERROR(INDEX(V!$R:$R,MATCH(AP6,V!$L:$L,0)),"")</f>
        <v/>
      </c>
      <c r="AP6" s="460" t="str">
        <f>IFERROR(MID($B6,FIND(", ",$B6,FIND(", ",$B6,FIND(", ",$B6)+1)+1)+2,30000),"")</f>
        <v/>
      </c>
    </row>
    <row r="7" spans="1:42" hidden="1" x14ac:dyDescent="0.2">
      <c r="A7" s="550">
        <v>1</v>
      </c>
      <c r="B7" s="971" t="s">
        <v>484</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11" si="0">SUM(AE7:AP7)</f>
        <v>397</v>
      </c>
      <c r="AE7" s="459">
        <f>IFERROR(INDEX(V!$R:$R,MATCH(AF7,V!$L:$L,0)),"")</f>
        <v>139</v>
      </c>
      <c r="AF7" s="460" t="str">
        <f>IFERROR(LEFT($B7,(FIND(",",$B7,1)-1)),"")</f>
        <v>Kaspar Mänd</v>
      </c>
      <c r="AG7" s="459" t="str">
        <f>IFERROR(INDEX(V!$R:$R,MATCH(AH7,V!$L:$L,0)),"")</f>
        <v/>
      </c>
      <c r="AH7" s="460" t="str">
        <f>IFERROR(MID($B7,FIND(", ",$B7)+2,256),"")</f>
        <v>Olav Türk, Sander Rose</v>
      </c>
      <c r="AI7" s="459">
        <f>IFERROR(INDEX(V!$R:$R,MATCH(AJ7,V!$L:$L,0)),"")</f>
        <v>103</v>
      </c>
      <c r="AJ7" s="460" t="str">
        <f>IFERROR(MID($B7,FIND("^",SUBSTITUTE($B7,", ","^",1))+2,FIND("^",SUBSTITUTE($B7,", ","^",2))-FIND("^",SUBSTITUTE($B7,", ","^",1))-2),"")</f>
        <v>Olav Türk</v>
      </c>
      <c r="AK7" s="459">
        <f>IFERROR(INDEX(V!$R:$R,MATCH(AL7,V!$L:$L,0)),"")</f>
        <v>155</v>
      </c>
      <c r="AL7" s="460" t="str">
        <f>IFERROR(MID($B7,FIND(", ",$B7,FIND(", ",$B7,FIND(", ",$B7))+1)+2,30000),"")</f>
        <v>Sander Rose</v>
      </c>
      <c r="AM7" s="459" t="str">
        <f>IFERROR(INDEX(V!$R:$R,MATCH(AN7,V!$L:$L,0)),"")</f>
        <v/>
      </c>
      <c r="AN7" s="460" t="str">
        <f>IFERROR(MID($B7,FIND(", ",$B7,FIND(", ",$B7)+1)+2,FIND(", ",$B7,FIND(", ",$B7,FIND(", ",$B7)+1)+1)-FIND(", ",$B7,FIND(", ",$B7)+1)-2),"")</f>
        <v/>
      </c>
      <c r="AO7" s="459" t="str">
        <f>IFERROR(INDEX(V!$R:$R,MATCH(AP7,V!$L:$L,0)),"")</f>
        <v/>
      </c>
      <c r="AP7" s="460" t="str">
        <f>IFERROR(MID($B7,FIND(", ",$B7,FIND(", ",$B7,FIND(", ",$B7)+1)+1)+2,30000),"")</f>
        <v/>
      </c>
    </row>
    <row r="8" spans="1:42" hidden="1" x14ac:dyDescent="0.2">
      <c r="A8" s="550">
        <v>2</v>
      </c>
      <c r="B8" s="969" t="s">
        <v>538</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si="0"/>
        <v>391</v>
      </c>
      <c r="AE8" s="459">
        <f>IFERROR(INDEX(V!$R:$R,MATCH(AF8,V!$L:$L,0)),"")</f>
        <v>139</v>
      </c>
      <c r="AF8" s="460" t="str">
        <f>IFERROR(LEFT($B8,(FIND(",",$B8,1)-1)),"")</f>
        <v>Andres Veski</v>
      </c>
      <c r="AG8" s="459" t="str">
        <f>IFERROR(INDEX(V!$R:$R,MATCH(AH8,V!$L:$L,0)),"")</f>
        <v/>
      </c>
      <c r="AH8" s="460" t="str">
        <f>IFERROR(MID($B8,FIND(", ",$B8)+2,256),"")</f>
        <v>Henri Mitt, Svetlana Veski</v>
      </c>
      <c r="AI8" s="459">
        <f>IFERROR(INDEX(V!$R:$R,MATCH(AJ8,V!$L:$L,0)),"")</f>
        <v>132</v>
      </c>
      <c r="AJ8" s="460" t="str">
        <f>IFERROR(MID($B8,FIND("^",SUBSTITUTE($B8,", ","^",1))+2,FIND("^",SUBSTITUTE($B8,", ","^",2))-FIND("^",SUBSTITUTE($B8,", ","^",1))-2),"")</f>
        <v>Henri Mitt</v>
      </c>
      <c r="AK8" s="459">
        <f>IFERROR(INDEX(V!$R:$R,MATCH(AL8,V!$L:$L,0)),"")</f>
        <v>120</v>
      </c>
      <c r="AL8" s="460" t="str">
        <f>IFERROR(MID($B8,FIND(", ",$B8,FIND(", ",$B8,FIND(", ",$B8))+1)+2,30000),"")</f>
        <v>Svetlana Veski</v>
      </c>
      <c r="AM8" s="459" t="str">
        <f>IFERROR(INDEX(V!$R:$R,MATCH(AN8,V!$L:$L,0)),"")</f>
        <v/>
      </c>
      <c r="AN8" s="460" t="str">
        <f>IFERROR(MID($B8,FIND(", ",$B8,FIND(", ",$B8)+1)+2,FIND(", ",$B8,FIND(", ",$B8,FIND(", ",$B8)+1)+1)-FIND(", ",$B8,FIND(", ",$B8)+1)-2),"")</f>
        <v/>
      </c>
      <c r="AO8" s="459" t="str">
        <f>IFERROR(INDEX(V!$R:$R,MATCH(AP8,V!$L:$L,0)),"")</f>
        <v/>
      </c>
      <c r="AP8" s="460" t="str">
        <f>IFERROR(MID($B8,FIND(", ",$B8,FIND(", ",$B8,FIND(", ",$B8)+1)+1)+2,30000),"")</f>
        <v/>
      </c>
    </row>
    <row r="9" spans="1:42" hidden="1" x14ac:dyDescent="0.2">
      <c r="A9" s="550">
        <v>3</v>
      </c>
      <c r="B9" s="969" t="s">
        <v>539</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si="0"/>
        <v>248</v>
      </c>
      <c r="AE9" s="459">
        <f>IFERROR(INDEX(V!$R:$R,MATCH(AF9,V!$L:$L,0)),"")</f>
        <v>134</v>
      </c>
      <c r="AF9" s="460" t="str">
        <f>IFERROR(LEFT($B9,(FIND(",",$B9,1)-1)),"")</f>
        <v>Elmo Lageda</v>
      </c>
      <c r="AG9" s="459" t="str">
        <f>IFERROR(INDEX(V!$R:$R,MATCH(AH9,V!$L:$L,0)),"")</f>
        <v/>
      </c>
      <c r="AH9" s="460" t="str">
        <f>IFERROR(MID($B9,FIND(", ",$B9)+2,256),"")</f>
        <v>Illar Tõnurist, Sirje Maala</v>
      </c>
      <c r="AI9" s="459">
        <f>IFERROR(INDEX(V!$R:$R,MATCH(AJ9,V!$L:$L,0)),"")</f>
        <v>52</v>
      </c>
      <c r="AJ9" s="460" t="str">
        <f>IFERROR(MID($B9,FIND("^",SUBSTITUTE($B9,", ","^",1))+2,FIND("^",SUBSTITUTE($B9,", ","^",2))-FIND("^",SUBSTITUTE($B9,", ","^",1))-2),"")</f>
        <v>Illar Tõnurist</v>
      </c>
      <c r="AK9" s="459">
        <f>IFERROR(INDEX(V!$R:$R,MATCH(AL9,V!$L:$L,0)),"")</f>
        <v>62</v>
      </c>
      <c r="AL9" s="460" t="str">
        <f>IFERROR(MID($B9,FIND(", ",$B9,FIND(", ",$B9,FIND(", ",$B9))+1)+2,30000),"")</f>
        <v>Sirje Maala</v>
      </c>
      <c r="AM9" s="459" t="str">
        <f>IFERROR(INDEX(V!$R:$R,MATCH(AN9,V!$L:$L,0)),"")</f>
        <v/>
      </c>
      <c r="AN9" s="460" t="str">
        <f>IFERROR(MID($B9,FIND(", ",$B9,FIND(", ",$B9)+1)+2,FIND(", ",$B9,FIND(", ",$B9,FIND(", ",$B9)+1)+1)-FIND(", ",$B9,FIND(", ",$B9)+1)-2),"")</f>
        <v/>
      </c>
      <c r="AO9" s="459" t="str">
        <f>IFERROR(INDEX(V!$R:$R,MATCH(AP9,V!$L:$L,0)),"")</f>
        <v/>
      </c>
      <c r="AP9" s="460" t="str">
        <f>IFERROR(MID($B9,FIND(", ",$B9,FIND(", ",$B9,FIND(", ",$B9)+1)+1)+2,30000),"")</f>
        <v/>
      </c>
    </row>
    <row r="10" spans="1:42" hidden="1" x14ac:dyDescent="0.2">
      <c r="A10" s="550">
        <v>4</v>
      </c>
      <c r="B10" s="972" t="s">
        <v>540</v>
      </c>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U10" s="584"/>
      <c r="AD10" s="458">
        <f t="shared" si="0"/>
        <v>282</v>
      </c>
      <c r="AE10" s="459">
        <f>IFERROR(INDEX(V!$R:$R,MATCH(AF10,V!$L:$L,0)),"")</f>
        <v>75</v>
      </c>
      <c r="AF10" s="460" t="str">
        <f t="shared" ref="AF10:AF11" si="1">IFERROR(LEFT($B10,(FIND(",",$B10,1)-1)),"")</f>
        <v>Enn Tokman</v>
      </c>
      <c r="AG10" s="459" t="str">
        <f>IFERROR(INDEX(V!$R:$R,MATCH(AH10,V!$L:$L,0)),"")</f>
        <v/>
      </c>
      <c r="AH10" s="460" t="str">
        <f t="shared" ref="AH10:AH11" si="2">IFERROR(MID($B10,FIND(", ",$B10)+2,256),"")</f>
        <v>Tarmo Bombe, Urmas Randlaine</v>
      </c>
      <c r="AI10" s="459">
        <f>IFERROR(INDEX(V!$R:$R,MATCH(AJ10,V!$L:$L,0)),"")</f>
        <v>68</v>
      </c>
      <c r="AJ10" s="460" t="str">
        <f t="shared" ref="AJ10:AJ11" si="3">IFERROR(MID($B10,FIND("^",SUBSTITUTE($B10,", ","^",1))+2,FIND("^",SUBSTITUTE($B10,", ","^",2))-FIND("^",SUBSTITUTE($B10,", ","^",1))-2),"")</f>
        <v>Tarmo Bombe</v>
      </c>
      <c r="AK10" s="459">
        <f>IFERROR(INDEX(V!$R:$R,MATCH(AL10,V!$L:$L,0)),"")</f>
        <v>139</v>
      </c>
      <c r="AL10" s="460" t="str">
        <f t="shared" ref="AL10:AL11" si="4">IFERROR(MID($B10,FIND(", ",$B10,FIND(", ",$B10,FIND(", ",$B10))+1)+2,30000),"")</f>
        <v>Urmas Randlaine</v>
      </c>
      <c r="AM10" s="459" t="str">
        <f>IFERROR(INDEX(V!$R:$R,MATCH(AN10,V!$L:$L,0)),"")</f>
        <v/>
      </c>
      <c r="AN10" s="460" t="str">
        <f t="shared" ref="AN10:AN11" si="5">IFERROR(MID($B10,FIND(", ",$B10,FIND(", ",$B10)+1)+2,FIND(", ",$B10,FIND(", ",$B10,FIND(", ",$B10)+1)+1)-FIND(", ",$B10,FIND(", ",$B10)+1)-2),"")</f>
        <v/>
      </c>
      <c r="AO10" s="459" t="str">
        <f>IFERROR(INDEX(V!$R:$R,MATCH(AP10,V!$L:$L,0)),"")</f>
        <v/>
      </c>
      <c r="AP10" s="460" t="str">
        <f t="shared" ref="AP10:AP11" si="6">IFERROR(MID($B10,FIND(", ",$B10,FIND(", ",$B10,FIND(", ",$B10)+1)+1)+2,30000),"")</f>
        <v/>
      </c>
    </row>
    <row r="11" spans="1:42" hidden="1" x14ac:dyDescent="0.2">
      <c r="A11" s="550">
        <v>5</v>
      </c>
      <c r="B11" s="972" t="s">
        <v>541</v>
      </c>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0.01</v>
      </c>
      <c r="T11" s="575" t="str">
        <f>Q11&amp;J11</f>
        <v>00</v>
      </c>
      <c r="U11" s="584"/>
      <c r="AD11" s="458">
        <f t="shared" si="0"/>
        <v>311</v>
      </c>
      <c r="AE11" s="459">
        <f>IFERROR(INDEX(V!$R:$R,MATCH(AF11,V!$L:$L,0)),"")</f>
        <v>160</v>
      </c>
      <c r="AF11" s="460" t="str">
        <f t="shared" si="1"/>
        <v>Kenneth Muusikus</v>
      </c>
      <c r="AG11" s="459" t="str">
        <f>IFERROR(INDEX(V!$R:$R,MATCH(AH11,V!$L:$L,0)),"")</f>
        <v/>
      </c>
      <c r="AH11" s="460" t="str">
        <f t="shared" si="2"/>
        <v>Oksana Rõndenkova, Oleg Rõndenkov</v>
      </c>
      <c r="AI11" s="459">
        <f>IFERROR(INDEX(V!$R:$R,MATCH(AJ11,V!$L:$L,0)),"")</f>
        <v>34</v>
      </c>
      <c r="AJ11" s="460" t="str">
        <f t="shared" si="3"/>
        <v>Oksana Rõndenkova</v>
      </c>
      <c r="AK11" s="459">
        <f>IFERROR(INDEX(V!$R:$R,MATCH(AL11,V!$L:$L,0)),"")</f>
        <v>117</v>
      </c>
      <c r="AL11" s="460" t="str">
        <f t="shared" si="4"/>
        <v>Oleg Rõndenkov</v>
      </c>
      <c r="AM11" s="459" t="str">
        <f>IFERROR(INDEX(V!$R:$R,MATCH(AN11,V!$L:$L,0)),"")</f>
        <v/>
      </c>
      <c r="AN11" s="460" t="str">
        <f t="shared" si="5"/>
        <v/>
      </c>
      <c r="AO11" s="459" t="str">
        <f>IFERROR(INDEX(V!$R:$R,MATCH(AP11,V!$L:$L,0)),"")</f>
        <v/>
      </c>
      <c r="AP11" s="460" t="str">
        <f t="shared" si="6"/>
        <v/>
      </c>
    </row>
    <row r="12" spans="1:42" hidden="1" x14ac:dyDescent="0.2">
      <c r="A12" s="592"/>
      <c r="B12" s="973"/>
      <c r="C12" s="594"/>
      <c r="D12" s="595"/>
      <c r="E12" s="594"/>
      <c r="F12" s="596"/>
      <c r="G12" s="597"/>
      <c r="H12" s="598"/>
      <c r="I12" s="405"/>
      <c r="J12" s="584"/>
      <c r="K12" s="584"/>
      <c r="L12" s="584"/>
      <c r="M12" s="584"/>
      <c r="N12" s="584"/>
      <c r="O12" s="584"/>
      <c r="P12" s="584"/>
      <c r="Q12" s="584"/>
      <c r="R12" s="588" t="s">
        <v>311</v>
      </c>
      <c r="S12" s="584"/>
      <c r="T12" s="584"/>
      <c r="U12" s="584"/>
    </row>
    <row r="13" spans="1:42" hidden="1" x14ac:dyDescent="0.2">
      <c r="A13" s="550" t="s">
        <v>201</v>
      </c>
      <c r="B13" s="970"/>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row>
    <row r="14" spans="1:42" hidden="1" x14ac:dyDescent="0.2">
      <c r="A14" s="550">
        <v>1</v>
      </c>
      <c r="B14" s="974"/>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v>
      </c>
      <c r="T14" s="575" t="str">
        <f>Q14&amp;J14</f>
        <v>00</v>
      </c>
      <c r="U14" s="584"/>
    </row>
    <row r="15" spans="1:42" hidden="1" x14ac:dyDescent="0.2">
      <c r="A15" s="550">
        <v>2</v>
      </c>
      <c r="B15" s="971"/>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v>
      </c>
      <c r="T15" s="575" t="str">
        <f>Q15&amp;J15</f>
        <v>00</v>
      </c>
      <c r="U15" s="584"/>
    </row>
    <row r="16" spans="1:42" hidden="1" x14ac:dyDescent="0.2">
      <c r="A16" s="550">
        <v>3</v>
      </c>
      <c r="B16" s="969"/>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v>
      </c>
      <c r="T16" s="575" t="str">
        <f>Q16&amp;J16</f>
        <v>00</v>
      </c>
      <c r="U16" s="584"/>
    </row>
    <row r="17" spans="1:21" hidden="1" x14ac:dyDescent="0.2">
      <c r="A17" s="550">
        <v>4</v>
      </c>
      <c r="B17" s="972"/>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U17" s="584"/>
    </row>
    <row r="18" spans="1:21" hidden="1" x14ac:dyDescent="0.2">
      <c r="A18" s="550">
        <v>5</v>
      </c>
      <c r="B18" s="972"/>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row>
    <row r="19" spans="1:21" hidden="1" x14ac:dyDescent="0.2">
      <c r="A19" s="592"/>
      <c r="B19" s="973"/>
      <c r="C19" s="594"/>
      <c r="D19" s="595"/>
      <c r="E19" s="594"/>
      <c r="F19" s="596"/>
      <c r="G19" s="597"/>
      <c r="H19" s="598"/>
      <c r="I19" s="614"/>
      <c r="J19" s="584"/>
      <c r="K19" s="584"/>
      <c r="L19" s="584"/>
      <c r="M19" s="584"/>
      <c r="N19" s="584"/>
      <c r="O19" s="584"/>
      <c r="P19" s="584"/>
      <c r="Q19" s="584"/>
      <c r="R19" s="588" t="s">
        <v>311</v>
      </c>
      <c r="S19" s="584"/>
      <c r="T19" s="584"/>
      <c r="U19" s="584"/>
    </row>
    <row r="20" spans="1:21" hidden="1" x14ac:dyDescent="0.2">
      <c r="A20" s="550" t="s">
        <v>202</v>
      </c>
      <c r="B20" s="970"/>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row>
    <row r="21" spans="1:21" hidden="1" x14ac:dyDescent="0.2">
      <c r="A21" s="550">
        <v>1</v>
      </c>
      <c r="B21" s="971"/>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v>
      </c>
      <c r="T21" s="575" t="str">
        <f>Q21&amp;J21</f>
        <v>00</v>
      </c>
      <c r="U21" s="584"/>
    </row>
    <row r="22" spans="1:21" hidden="1" x14ac:dyDescent="0.2">
      <c r="A22" s="550">
        <v>2</v>
      </c>
      <c r="B22" s="969"/>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v>
      </c>
      <c r="T22" s="575" t="str">
        <f>Q22&amp;J22</f>
        <v>00</v>
      </c>
      <c r="U22" s="584"/>
    </row>
    <row r="23" spans="1:21" hidden="1" x14ac:dyDescent="0.2">
      <c r="A23" s="550">
        <v>3</v>
      </c>
      <c r="B23" s="969"/>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v>
      </c>
      <c r="T23" s="575" t="str">
        <f>Q23&amp;J23</f>
        <v>00</v>
      </c>
      <c r="U23" s="584"/>
    </row>
    <row r="24" spans="1:21" hidden="1" x14ac:dyDescent="0.2">
      <c r="A24" s="550">
        <v>4</v>
      </c>
      <c r="B24" s="969"/>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row>
    <row r="25" spans="1:21" hidden="1" x14ac:dyDescent="0.2">
      <c r="A25" s="550">
        <v>5</v>
      </c>
      <c r="B25" s="972"/>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row>
    <row r="26" spans="1:21" hidden="1" x14ac:dyDescent="0.2">
      <c r="A26" s="615"/>
      <c r="B26" s="975"/>
      <c r="C26" s="597"/>
      <c r="D26" s="597"/>
      <c r="E26" s="597"/>
      <c r="F26" s="616"/>
      <c r="G26" s="616"/>
      <c r="H26" s="617"/>
      <c r="I26" s="587"/>
      <c r="J26" s="584"/>
      <c r="K26" s="584"/>
      <c r="L26" s="584"/>
      <c r="M26" s="584"/>
      <c r="N26" s="584"/>
      <c r="O26" s="584"/>
      <c r="P26" s="584"/>
      <c r="Q26" s="584"/>
      <c r="R26" s="588" t="s">
        <v>311</v>
      </c>
      <c r="S26" s="584"/>
      <c r="T26" s="584"/>
      <c r="U26" s="584"/>
    </row>
    <row r="27" spans="1:21" hidden="1" x14ac:dyDescent="0.2">
      <c r="A27" s="550" t="s">
        <v>203</v>
      </c>
      <c r="B27" s="970"/>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row>
    <row r="28" spans="1:21" hidden="1" x14ac:dyDescent="0.2">
      <c r="A28" s="550">
        <v>1</v>
      </c>
      <c r="B28" s="976"/>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v>
      </c>
      <c r="T28" s="575" t="str">
        <f>Q28&amp;J28</f>
        <v>00</v>
      </c>
      <c r="U28" s="584"/>
    </row>
    <row r="29" spans="1:21" hidden="1" x14ac:dyDescent="0.2">
      <c r="A29" s="550">
        <v>2</v>
      </c>
      <c r="B29" s="969"/>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v>
      </c>
      <c r="T29" s="575" t="str">
        <f>Q29&amp;J29</f>
        <v>00</v>
      </c>
      <c r="U29" s="584"/>
    </row>
    <row r="30" spans="1:21" hidden="1" x14ac:dyDescent="0.2">
      <c r="A30" s="550">
        <v>3</v>
      </c>
      <c r="B30" s="969"/>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v>
      </c>
      <c r="T30" s="575" t="str">
        <f>Q30&amp;J30</f>
        <v>00</v>
      </c>
      <c r="U30" s="584"/>
    </row>
    <row r="31" spans="1:21" hidden="1" x14ac:dyDescent="0.2">
      <c r="A31" s="550">
        <v>4</v>
      </c>
      <c r="B31" s="972"/>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row>
    <row r="32" spans="1:21" hidden="1" x14ac:dyDescent="0.2">
      <c r="A32" s="550">
        <v>5</v>
      </c>
      <c r="B32" s="972"/>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row>
    <row r="33" spans="1:21"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row>
    <row r="300" spans="1:3" x14ac:dyDescent="0.2">
      <c r="A300" s="449">
        <v>1</v>
      </c>
      <c r="B300" s="450" t="s">
        <v>484</v>
      </c>
      <c r="C300" s="981"/>
    </row>
    <row r="301" spans="1:3" x14ac:dyDescent="0.2">
      <c r="A301" s="449">
        <v>2</v>
      </c>
      <c r="B301" s="450" t="s">
        <v>538</v>
      </c>
      <c r="C301" s="981"/>
    </row>
    <row r="302" spans="1:3" x14ac:dyDescent="0.2">
      <c r="A302" s="449">
        <v>3</v>
      </c>
      <c r="B302" s="450" t="s">
        <v>539</v>
      </c>
      <c r="C302" s="981"/>
    </row>
    <row r="303" spans="1:3" x14ac:dyDescent="0.2">
      <c r="A303" s="449">
        <v>4</v>
      </c>
      <c r="B303" s="450" t="s">
        <v>540</v>
      </c>
      <c r="C303" s="981"/>
    </row>
    <row r="304" spans="1:3" x14ac:dyDescent="0.2">
      <c r="A304" s="449">
        <v>5</v>
      </c>
      <c r="B304" s="450" t="s">
        <v>541</v>
      </c>
      <c r="C304" s="981"/>
    </row>
    <row r="305" spans="3:3" x14ac:dyDescent="0.2">
      <c r="C305" s="981"/>
    </row>
    <row r="306" spans="3:3" x14ac:dyDescent="0.2">
      <c r="C306" s="981"/>
    </row>
    <row r="307" spans="3:3" x14ac:dyDescent="0.2">
      <c r="C307" s="981"/>
    </row>
    <row r="308" spans="3:3" x14ac:dyDescent="0.2">
      <c r="C308" s="981"/>
    </row>
  </sheetData>
  <conditionalFormatting sqref="D7 C8">
    <cfRule type="aboveAverage" dxfId="575" priority="229"/>
  </conditionalFormatting>
  <conditionalFormatting sqref="E7 C9">
    <cfRule type="aboveAverage" dxfId="574" priority="228"/>
  </conditionalFormatting>
  <conditionalFormatting sqref="F7 C10">
    <cfRule type="aboveAverage" dxfId="573" priority="227"/>
  </conditionalFormatting>
  <conditionalFormatting sqref="E8 D9">
    <cfRule type="aboveAverage" dxfId="572" priority="226"/>
  </conditionalFormatting>
  <conditionalFormatting sqref="G7 C11">
    <cfRule type="aboveAverage" dxfId="571" priority="225"/>
  </conditionalFormatting>
  <conditionalFormatting sqref="F8 D10">
    <cfRule type="aboveAverage" dxfId="570" priority="224"/>
  </conditionalFormatting>
  <conditionalFormatting sqref="G8 D11">
    <cfRule type="aboveAverage" dxfId="569" priority="223"/>
  </conditionalFormatting>
  <conditionalFormatting sqref="F9 E10">
    <cfRule type="aboveAverage" dxfId="568" priority="222"/>
  </conditionalFormatting>
  <conditionalFormatting sqref="G9 E11">
    <cfRule type="aboveAverage" dxfId="567" priority="221"/>
  </conditionalFormatting>
  <conditionalFormatting sqref="F11 G10">
    <cfRule type="aboveAverage" dxfId="566" priority="220"/>
  </conditionalFormatting>
  <conditionalFormatting sqref="D14 C15">
    <cfRule type="aboveAverage" dxfId="565" priority="219"/>
  </conditionalFormatting>
  <conditionalFormatting sqref="E14 C16">
    <cfRule type="aboveAverage" dxfId="564" priority="218"/>
  </conditionalFormatting>
  <conditionalFormatting sqref="F14 C17">
    <cfRule type="aboveAverage" dxfId="563" priority="217"/>
  </conditionalFormatting>
  <conditionalFormatting sqref="E15 D16">
    <cfRule type="aboveAverage" dxfId="562" priority="216"/>
  </conditionalFormatting>
  <conditionalFormatting sqref="G14 C18">
    <cfRule type="aboveAverage" dxfId="561" priority="215"/>
  </conditionalFormatting>
  <conditionalFormatting sqref="F15 D17">
    <cfRule type="aboveAverage" dxfId="560" priority="214"/>
  </conditionalFormatting>
  <conditionalFormatting sqref="G15 D18">
    <cfRule type="aboveAverage" dxfId="559" priority="213"/>
  </conditionalFormatting>
  <conditionalFormatting sqref="F16 E17">
    <cfRule type="aboveAverage" dxfId="558" priority="212"/>
  </conditionalFormatting>
  <conditionalFormatting sqref="G16 E18">
    <cfRule type="aboveAverage" dxfId="557" priority="211"/>
  </conditionalFormatting>
  <conditionalFormatting sqref="F18 G17">
    <cfRule type="aboveAverage" dxfId="556" priority="210"/>
  </conditionalFormatting>
  <conditionalFormatting sqref="D21 C22">
    <cfRule type="aboveAverage" dxfId="555" priority="209"/>
  </conditionalFormatting>
  <conditionalFormatting sqref="E21 C23">
    <cfRule type="aboveAverage" dxfId="554" priority="208"/>
  </conditionalFormatting>
  <conditionalFormatting sqref="F21 C24">
    <cfRule type="aboveAverage" dxfId="553" priority="207"/>
  </conditionalFormatting>
  <conditionalFormatting sqref="E22 D23">
    <cfRule type="aboveAverage" dxfId="552" priority="206"/>
  </conditionalFormatting>
  <conditionalFormatting sqref="G21 C25">
    <cfRule type="aboveAverage" dxfId="551" priority="205"/>
  </conditionalFormatting>
  <conditionalFormatting sqref="F22 D24">
    <cfRule type="aboveAverage" dxfId="550" priority="204"/>
  </conditionalFormatting>
  <conditionalFormatting sqref="G22 D25">
    <cfRule type="aboveAverage" dxfId="549" priority="203"/>
  </conditionalFormatting>
  <conditionalFormatting sqref="F23 E24">
    <cfRule type="aboveAverage" dxfId="548" priority="202"/>
  </conditionalFormatting>
  <conditionalFormatting sqref="G23 E25">
    <cfRule type="aboveAverage" dxfId="547" priority="201"/>
  </conditionalFormatting>
  <conditionalFormatting sqref="F25 G24">
    <cfRule type="aboveAverage" dxfId="546" priority="200"/>
  </conditionalFormatting>
  <conditionalFormatting sqref="D28 C29">
    <cfRule type="aboveAverage" dxfId="545" priority="199"/>
  </conditionalFormatting>
  <conditionalFormatting sqref="E28 C30">
    <cfRule type="aboveAverage" dxfId="544" priority="198"/>
  </conditionalFormatting>
  <conditionalFormatting sqref="F28 C31">
    <cfRule type="aboveAverage" dxfId="543" priority="197"/>
  </conditionalFormatting>
  <conditionalFormatting sqref="E29 D30">
    <cfRule type="aboveAverage" dxfId="542" priority="196"/>
  </conditionalFormatting>
  <conditionalFormatting sqref="G28 C32">
    <cfRule type="aboveAverage" dxfId="541" priority="195"/>
  </conditionalFormatting>
  <conditionalFormatting sqref="F29 D31">
    <cfRule type="aboveAverage" dxfId="540" priority="194"/>
  </conditionalFormatting>
  <conditionalFormatting sqref="G29 D32">
    <cfRule type="aboveAverage" dxfId="539" priority="193"/>
  </conditionalFormatting>
  <conditionalFormatting sqref="F30 E31">
    <cfRule type="aboveAverage" dxfId="538" priority="192"/>
  </conditionalFormatting>
  <conditionalFormatting sqref="G30 E32">
    <cfRule type="aboveAverage" dxfId="537" priority="191"/>
  </conditionalFormatting>
  <conditionalFormatting sqref="F32 G31">
    <cfRule type="aboveAverage" dxfId="536" priority="190"/>
  </conditionalFormatting>
  <conditionalFormatting sqref="I28:I32">
    <cfRule type="expression" dxfId="535" priority="184">
      <formula>FIND(2,I28,1)</formula>
    </cfRule>
    <cfRule type="expression" dxfId="534" priority="185">
      <formula>FIND(1,I28,1)</formula>
    </cfRule>
  </conditionalFormatting>
  <conditionalFormatting sqref="I21:I25">
    <cfRule type="expression" dxfId="533" priority="186">
      <formula>FIND(2,I21,1)</formula>
    </cfRule>
    <cfRule type="expression" dxfId="532" priority="187">
      <formula>FIND(1,I21,1)</formula>
    </cfRule>
  </conditionalFormatting>
  <conditionalFormatting sqref="I7:I11">
    <cfRule type="expression" dxfId="531" priority="188">
      <formula>FIND(2,I7,1)</formula>
    </cfRule>
    <cfRule type="expression" dxfId="530" priority="189">
      <formula>FIND(1,I7,1)</formula>
    </cfRule>
  </conditionalFormatting>
  <conditionalFormatting sqref="H14:H18">
    <cfRule type="expression" dxfId="529" priority="128">
      <formula>AND(Q14=4,IF(COUNTIF(Q$14:Q$18,"=4")&gt;=2,TRUE))</formula>
    </cfRule>
    <cfRule type="expression" dxfId="528" priority="230">
      <formula>AND(Q14=3,IF(COUNTIF(Q$14:Q$18,"=3")&gt;=2,TRUE))</formula>
    </cfRule>
    <cfRule type="expression" dxfId="527" priority="231">
      <formula>AND(Q14=2,IF(COUNTIF(Q$14:Q$18,"=2")&gt;=2,TRUE))</formula>
    </cfRule>
    <cfRule type="expression" dxfId="526" priority="232">
      <formula>AND(Q14=1,IF(COUNTIF(Q$14:Q$18,"=1")&gt;=2,TRUE))</formula>
    </cfRule>
  </conditionalFormatting>
  <conditionalFormatting sqref="B7:B33">
    <cfRule type="duplicateValues" dxfId="525" priority="183"/>
  </conditionalFormatting>
  <conditionalFormatting sqref="L7:L11">
    <cfRule type="expression" dxfId="524" priority="166">
      <formula>K7=0</formula>
    </cfRule>
    <cfRule type="expression" dxfId="523" priority="175">
      <formula>IF(COUNTIF(J$7:J$11,"=2")=2,TRUE)</formula>
    </cfRule>
    <cfRule type="expression" dxfId="522" priority="176">
      <formula>IF(COUNTIF(J$7:J$11,"=1")=2,TRUE)</formula>
    </cfRule>
    <cfRule type="expression" dxfId="521" priority="177">
      <formula>AND(IF(COUNTIF(Q$7:Q$11,"=1")=2,TRUE),IF(COUNTIF(Q$7:Q$11,"=2")=2,TRUE))</formula>
    </cfRule>
    <cfRule type="expression" dxfId="520" priority="178">
      <formula>AND(Q7=4,IF(COUNTIF(Q$7:Q$11,"=4")=1,TRUE))</formula>
    </cfRule>
    <cfRule type="expression" dxfId="519" priority="179">
      <formula>AND(Q7=3,IF(COUNTIF(Q$7:Q$11,"=3")=1,TRUE))</formula>
    </cfRule>
    <cfRule type="expression" dxfId="518" priority="180">
      <formula>AND(Q7=2,IF(COUNTIF(Q$7:Q$11,"=2")=1,TRUE))</formula>
    </cfRule>
    <cfRule type="expression" dxfId="517" priority="181">
      <formula>AND(Q7=1,IF(COUNTIF(Q$7:Q$11,"=1")=1,TRUE))</formula>
    </cfRule>
    <cfRule type="expression" dxfId="516" priority="182">
      <formula>OR(Q7=0,Q7=5)</formula>
    </cfRule>
  </conditionalFormatting>
  <conditionalFormatting sqref="O7:O11">
    <cfRule type="expression" dxfId="515" priority="174">
      <formula>OR(AND(J7=1,K7=1,L7=0,M7=1),AND(J7=2,K7=2,L7=0,M7=2))</formula>
    </cfRule>
  </conditionalFormatting>
  <conditionalFormatting sqref="M7:M11">
    <cfRule type="expression" dxfId="514" priority="167">
      <formula>AND(L7&gt;0,IF(COUNTIF(L$7:L$11,L7)&gt;1,TRUE,FALSE))</formula>
    </cfRule>
    <cfRule type="expression" dxfId="513" priority="168">
      <formula>AND(IF(COUNTIF(R$7:R$11,"=1")=2,TRUE),IF(COUNTIF(R$7:R$11,"=2")=2,TRUE))</formula>
    </cfRule>
    <cfRule type="expression" dxfId="512" priority="169">
      <formula>AND(R7=4,IF(COUNTIF(R$7:R$11,"=4")=1,TRUE))</formula>
    </cfRule>
    <cfRule type="expression" dxfId="511" priority="170">
      <formula>AND(R7=3,IF(COUNTIF(R$7:R$11,"=3")=1,TRUE))</formula>
    </cfRule>
    <cfRule type="expression" dxfId="510" priority="171">
      <formula>AND(R7=2,IF(COUNTIF(R$7:R$11,"=2")=1,TRUE))</formula>
    </cfRule>
    <cfRule type="expression" dxfId="509" priority="172">
      <formula>AND(R7=1,IF(COUNTIF(R$7:R$11,"=1")=1,TRUE))</formula>
    </cfRule>
    <cfRule type="expression" dxfId="508" priority="173">
      <formula>OR(R7=0,R7=5)</formula>
    </cfRule>
  </conditionalFormatting>
  <conditionalFormatting sqref="J7:J11">
    <cfRule type="expression" dxfId="507" priority="162">
      <formula>AND(Q7=4,IF(COUNTIF(Q$7:Q$11,"=4")&gt;=2,TRUE))</formula>
    </cfRule>
    <cfRule type="expression" dxfId="506" priority="163">
      <formula>AND(Q7=3,IF(COUNTIF(Q$7:Q$11,"=3")&gt;=2,TRUE))</formula>
    </cfRule>
    <cfRule type="expression" dxfId="505" priority="164">
      <formula>AND(Q7=2,IF(COUNTIF(Q$7:Q$11,"=2")&gt;=2,TRUE))</formula>
    </cfRule>
    <cfRule type="expression" dxfId="504" priority="165">
      <formula>AND(Q7=1,IF(COUNTIF(Q$7:Q$11,"=1")&gt;=2,TRUE))</formula>
    </cfRule>
  </conditionalFormatting>
  <conditionalFormatting sqref="H7:H11">
    <cfRule type="expression" dxfId="503" priority="129">
      <formula>AND(Q7=4,IF(COUNTIF(Q$7:Q$11,"=4")&gt;=2,TRUE))</formula>
    </cfRule>
    <cfRule type="expression" dxfId="502" priority="233">
      <formula>AND(Q7=3,IF(COUNTIF(Q$7:Q$11,"=3")&gt;=2,TRUE))</formula>
    </cfRule>
    <cfRule type="expression" dxfId="501" priority="234">
      <formula>AND(Q7=2,IF(COUNTIF(Q$7:Q$11,"=2")&gt;=2,TRUE))</formula>
    </cfRule>
    <cfRule type="expression" dxfId="500" priority="235">
      <formula>AND(Q7=1,IF(COUNTIF(Q$7:Q$11,"=1")&gt;=2,TRUE))</formula>
    </cfRule>
  </conditionalFormatting>
  <conditionalFormatting sqref="K7:K11">
    <cfRule type="expression" dxfId="499" priority="236">
      <formula>AND(J7&gt;0,IF(COUNTIF(J$7:J$11,"=1")=2,TRUE),IF(COUNTIF(J$7:J$11,"=2")=2,TRUE))</formula>
    </cfRule>
    <cfRule type="expression" dxfId="498" priority="237">
      <formula>IF(COUNTIF(L$7:L$11,"=2")=2,TRUE)</formula>
    </cfRule>
    <cfRule type="expression" dxfId="497" priority="238">
      <formula>IF(COUNTIF(L$7:L$11,"=1")=2,TRUE)</formula>
    </cfRule>
    <cfRule type="expression" dxfId="496" priority="239">
      <formula>AND(IF(COUNTIF(R$7:R$11,"=1")=2,TRUE),IF(COUNTIF(S$7:S$11,"=2")=2,TRUE))</formula>
    </cfRule>
    <cfRule type="expression" dxfId="495" priority="240">
      <formula>AND(R7=4,IF(COUNTIF(R$7:R$11,"=4")=1,TRUE))</formula>
    </cfRule>
    <cfRule type="expression" dxfId="494" priority="241">
      <formula>AND(R7=3,IF(COUNTIF(R$7:R$11,"=3")=1,TRUE))</formula>
    </cfRule>
    <cfRule type="expression" dxfId="493" priority="242">
      <formula>AND(R7=2,IF(COUNTIF(R$7:R$11,"=2")=1,TRUE))</formula>
    </cfRule>
    <cfRule type="expression" dxfId="492" priority="243">
      <formula>AND(R7=1,IF(COUNTIF(R$7:R$11,"=1")=1,TRUE))</formula>
    </cfRule>
    <cfRule type="expression" dxfId="491" priority="244">
      <formula>OR(R7=0,R7=5)</formula>
    </cfRule>
  </conditionalFormatting>
  <conditionalFormatting sqref="I14:I18">
    <cfRule type="expression" dxfId="490" priority="151">
      <formula>FIND(2,I14,1)</formula>
    </cfRule>
    <cfRule type="expression" dxfId="489" priority="152">
      <formula>FIND(1,I14,1)</formula>
    </cfRule>
  </conditionalFormatting>
  <conditionalFormatting sqref="L14:L18">
    <cfRule type="expression" dxfId="488" priority="134">
      <formula>K14=0</formula>
    </cfRule>
    <cfRule type="expression" dxfId="487" priority="143">
      <formula>IF(COUNTIF(J$14:J$18,"=2")=2,TRUE)</formula>
    </cfRule>
    <cfRule type="expression" dxfId="486" priority="144">
      <formula>IF(COUNTIF(J$14:J$18,"=1")=2,TRUE)</formula>
    </cfRule>
    <cfRule type="expression" dxfId="485" priority="145">
      <formula>AND(IF(COUNTIF(Q$14:Q$18,"=1")=2,TRUE),IF(COUNTIF(Q$14:Q$18,"=2")=2,TRUE))</formula>
    </cfRule>
    <cfRule type="expression" dxfId="484" priority="146">
      <formula>AND(Q14=4,IF(COUNTIF(Q$14:Q$18,"=4")=1,TRUE))</formula>
    </cfRule>
    <cfRule type="expression" dxfId="483" priority="147">
      <formula>AND(Q14=3,IF(COUNTIF(Q$14:Q$18,"=3")=1,TRUE))</formula>
    </cfRule>
    <cfRule type="expression" dxfId="482" priority="148">
      <formula>AND(Q14=2,IF(COUNTIF(Q$14:Q$18,"=2")=1,TRUE))</formula>
    </cfRule>
    <cfRule type="expression" dxfId="481" priority="149">
      <formula>AND(Q14=1,IF(COUNTIF(Q$14:Q$18,"=1")=1,TRUE))</formula>
    </cfRule>
    <cfRule type="expression" dxfId="480" priority="150">
      <formula>OR(Q14=0,Q14=5)</formula>
    </cfRule>
  </conditionalFormatting>
  <conditionalFormatting sqref="O14:O18">
    <cfRule type="expression" dxfId="479" priority="142">
      <formula>OR(AND(J14=1,K14=1,L14=0,M14=1),AND(J14=2,K14=2,L14=0,M14=2))</formula>
    </cfRule>
  </conditionalFormatting>
  <conditionalFormatting sqref="M14:M18">
    <cfRule type="expression" dxfId="478" priority="135">
      <formula>AND(L14&gt;0,IF(COUNTIF(L$14:L$18,L14)&gt;1,TRUE,FALSE))</formula>
    </cfRule>
    <cfRule type="expression" dxfId="477" priority="136">
      <formula>AND(IF(COUNTIF(R$14:R$18,"=1")=2,TRUE),IF(COUNTIF(R$14:R$18,"=2")=2,TRUE))</formula>
    </cfRule>
    <cfRule type="expression" dxfId="476" priority="137">
      <formula>AND(R14=4,IF(COUNTIF(R$14:R$18,"=4")=1,TRUE))</formula>
    </cfRule>
    <cfRule type="expression" dxfId="475" priority="138">
      <formula>AND(R14=3,IF(COUNTIF(R$14:R$18,"=3")=1,TRUE))</formula>
    </cfRule>
    <cfRule type="expression" dxfId="474" priority="139">
      <formula>AND(R14=2,IF(COUNTIF(R$14:R$18,"=2")=1,TRUE))</formula>
    </cfRule>
    <cfRule type="expression" dxfId="473" priority="140">
      <formula>AND(R14=1,IF(COUNTIF(R$14:R$18,"=1")=1,TRUE))</formula>
    </cfRule>
    <cfRule type="expression" dxfId="472" priority="141">
      <formula>OR(R14=0,R14=5)</formula>
    </cfRule>
  </conditionalFormatting>
  <conditionalFormatting sqref="J14:J18">
    <cfRule type="expression" dxfId="471" priority="130">
      <formula>AND(Q14=4,IF(COUNTIF(Q$14:Q$18,"=4")&gt;=2,TRUE))</formula>
    </cfRule>
    <cfRule type="expression" dxfId="470" priority="131">
      <formula>AND(Q14=3,IF(COUNTIF(Q$14:Q$18,"=3")&gt;=2,TRUE))</formula>
    </cfRule>
    <cfRule type="expression" dxfId="469" priority="132">
      <formula>AND(Q14=2,IF(COUNTIF(Q$14:Q$18,"=2")&gt;=2,TRUE))</formula>
    </cfRule>
    <cfRule type="expression" dxfId="468" priority="133">
      <formula>AND(Q14=1,IF(COUNTIF(Q$14:Q$18,"=1")&gt;=2,TRUE))</formula>
    </cfRule>
  </conditionalFormatting>
  <conditionalFormatting sqref="K14:K18">
    <cfRule type="expression" dxfId="467" priority="153">
      <formula>AND(J14&gt;0,IF(COUNTIF(J$14:J$18,"=1")=2,TRUE),IF(COUNTIF(J$14:J$18,"=2")=2,TRUE))</formula>
    </cfRule>
    <cfRule type="expression" dxfId="466" priority="154">
      <formula>IF(COUNTIF(L$14:L$18,"=2")=2,TRUE)</formula>
    </cfRule>
    <cfRule type="expression" dxfId="465" priority="155">
      <formula>IF(COUNTIF(L$14:L$18,"=1")=2,TRUE)</formula>
    </cfRule>
    <cfRule type="expression" dxfId="464" priority="156">
      <formula>AND(IF(COUNTIF(R$14:R$18,"=1")=2,TRUE),IF(COUNTIF(S$14:S$18,"=2")=2,TRUE))</formula>
    </cfRule>
    <cfRule type="expression" dxfId="463" priority="157">
      <formula>AND(R14=4,IF(COUNTIF(R$14:R$18,"=4")=1,TRUE))</formula>
    </cfRule>
    <cfRule type="expression" dxfId="462" priority="158">
      <formula>AND(R14=3,IF(COUNTIF(R$14:R$18,"=3")=1,TRUE))</formula>
    </cfRule>
    <cfRule type="expression" dxfId="461" priority="159">
      <formula>AND(R14=2,IF(COUNTIF(R$14:R$18,"=2")=1,TRUE))</formula>
    </cfRule>
    <cfRule type="expression" dxfId="460" priority="160">
      <formula>AND(R14=1,IF(COUNTIF(R$14:R$18,"=1")=1,TRUE))</formula>
    </cfRule>
    <cfRule type="expression" dxfId="459" priority="161">
      <formula>OR(R14=0,R14=5)</formula>
    </cfRule>
  </conditionalFormatting>
  <conditionalFormatting sqref="L21:L25">
    <cfRule type="expression" dxfId="458" priority="102">
      <formula>K21=0</formula>
    </cfRule>
    <cfRule type="expression" dxfId="457" priority="111">
      <formula>IF(COUNTIF(J$21:J$25,"=2")=2,TRUE)</formula>
    </cfRule>
    <cfRule type="expression" dxfId="456" priority="112">
      <formula>IF(COUNTIF(J$21:J$25,"=1")=2,TRUE)</formula>
    </cfRule>
    <cfRule type="expression" dxfId="455" priority="113">
      <formula>AND(IF(COUNTIF(Q$21:Q$25,"=1")=2,TRUE),IF(COUNTIF(Q$21:Q$25,"=2")=2,TRUE))</formula>
    </cfRule>
    <cfRule type="expression" dxfId="454" priority="114">
      <formula>AND(Q21=4,IF(COUNTIF(Q$21:Q$25,"=4")=1,TRUE))</formula>
    </cfRule>
    <cfRule type="expression" dxfId="453" priority="115">
      <formula>AND(Q21=3,IF(COUNTIF(Q$21:Q$25,"=3")=1,TRUE))</formula>
    </cfRule>
    <cfRule type="expression" dxfId="452" priority="116">
      <formula>AND(Q21=2,IF(COUNTIF(Q$21:Q$25,"=2")=1,TRUE))</formula>
    </cfRule>
    <cfRule type="expression" dxfId="451" priority="117">
      <formula>AND(Q21=1,IF(COUNTIF(Q$21:Q$25,"=1")=1,TRUE))</formula>
    </cfRule>
    <cfRule type="expression" dxfId="450" priority="118">
      <formula>OR(Q21=0,Q21=5)</formula>
    </cfRule>
  </conditionalFormatting>
  <conditionalFormatting sqref="O21:O25">
    <cfRule type="expression" dxfId="449" priority="110">
      <formula>OR(AND(J21=1,K21=1,L21=0,M21=1),AND(J21=2,K21=2,L21=0,M21=2))</formula>
    </cfRule>
  </conditionalFormatting>
  <conditionalFormatting sqref="M21:M25">
    <cfRule type="expression" dxfId="448" priority="103">
      <formula>AND(L21&gt;0,IF(COUNTIF(L$21:L$25,L21)&gt;1,TRUE,FALSE))</formula>
    </cfRule>
    <cfRule type="expression" dxfId="447" priority="104">
      <formula>AND(IF(COUNTIF(R$21:R$25,"=1")=2,TRUE),IF(COUNTIF(R$21:R$25,"=2")=2,TRUE))</formula>
    </cfRule>
    <cfRule type="expression" dxfId="446" priority="105">
      <formula>AND(R21=4,IF(COUNTIF(R$21:R$25,"=4")=1,TRUE))</formula>
    </cfRule>
    <cfRule type="expression" dxfId="445" priority="106">
      <formula>AND(R21=3,IF(COUNTIF(R$21:R$25,"=3")=1,TRUE))</formula>
    </cfRule>
    <cfRule type="expression" dxfId="444" priority="107">
      <formula>AND(R21=2,IF(COUNTIF(R$21:R$25,"=2")=1,TRUE))</formula>
    </cfRule>
    <cfRule type="expression" dxfId="443" priority="108">
      <formula>AND(R21=1,IF(COUNTIF(R$21:R$25,"=1")=1,TRUE))</formula>
    </cfRule>
    <cfRule type="expression" dxfId="442" priority="109">
      <formula>OR(R21=0,R21=5)</formula>
    </cfRule>
  </conditionalFormatting>
  <conditionalFormatting sqref="J21:J25">
    <cfRule type="expression" dxfId="441" priority="98">
      <formula>AND(Q21=4,IF(COUNTIF(Q$21:Q$25,"=4")&gt;=2,TRUE))</formula>
    </cfRule>
    <cfRule type="expression" dxfId="440" priority="99">
      <formula>AND(Q21=3,IF(COUNTIF(Q$21:Q$25,"=3")&gt;=2,TRUE))</formula>
    </cfRule>
    <cfRule type="expression" dxfId="439" priority="100">
      <formula>AND(Q21=2,IF(COUNTIF(Q$21:Q$25,"=2")&gt;=2,TRUE))</formula>
    </cfRule>
    <cfRule type="expression" dxfId="438" priority="101">
      <formula>AND(Q21=1,IF(COUNTIF(Q$21:Q$25,"=1")&gt;=2,TRUE))</formula>
    </cfRule>
  </conditionalFormatting>
  <conditionalFormatting sqref="K21:K25">
    <cfRule type="expression" dxfId="437" priority="119">
      <formula>AND(J21&gt;0,IF(COUNTIF(J$21:J$25,"=1")=2,TRUE),IF(COUNTIF(J$21:J$25,"=2")=2,TRUE))</formula>
    </cfRule>
    <cfRule type="expression" dxfId="436" priority="120">
      <formula>IF(COUNTIF(L$21:L$25,"=2")=2,TRUE)</formula>
    </cfRule>
    <cfRule type="expression" dxfId="435" priority="121">
      <formula>IF(COUNTIF(L$21:L$25,"=1")=2,TRUE)</formula>
    </cfRule>
    <cfRule type="expression" dxfId="434" priority="122">
      <formula>AND(IF(COUNTIF(R$21:R$25,"=1")=2,TRUE),IF(COUNTIF(S$21:S$25,"=2")=2,TRUE))</formula>
    </cfRule>
    <cfRule type="expression" dxfId="433" priority="123">
      <formula>AND(R21=4,IF(COUNTIF(R$21:R$25,"=4")=1,TRUE))</formula>
    </cfRule>
    <cfRule type="expression" dxfId="432" priority="124">
      <formula>AND(R21=3,IF(COUNTIF(R$21:R$25,"=3")=1,TRUE))</formula>
    </cfRule>
    <cfRule type="expression" dxfId="431" priority="125">
      <formula>AND(R21=2,IF(COUNTIF(R$21:R$25,"=2")=1,TRUE))</formula>
    </cfRule>
    <cfRule type="expression" dxfId="430" priority="126">
      <formula>AND(R21=1,IF(COUNTIF(R$21:R$25,"=1")=1,TRUE))</formula>
    </cfRule>
    <cfRule type="expression" dxfId="429" priority="127">
      <formula>OR(R21=0,R21=5)</formula>
    </cfRule>
  </conditionalFormatting>
  <conditionalFormatting sqref="H21:H25">
    <cfRule type="expression" dxfId="428" priority="94">
      <formula>AND(Q21=4,IF(COUNTIF(Q$21:Q$25,"=4")&gt;=2,TRUE))</formula>
    </cfRule>
    <cfRule type="expression" dxfId="427" priority="95">
      <formula>AND(Q21=3,IF(COUNTIF(Q$21:Q$25,"=3")&gt;=2,TRUE))</formula>
    </cfRule>
    <cfRule type="expression" dxfId="426" priority="96">
      <formula>AND(Q21=2,IF(COUNTIF(Q$21:Q$25,"=2")&gt;=2,TRUE))</formula>
    </cfRule>
    <cfRule type="expression" dxfId="425" priority="97">
      <formula>AND(Q21=1,IF(COUNTIF(Q$21:Q$25,"=1")&gt;=2,TRUE))</formula>
    </cfRule>
  </conditionalFormatting>
  <conditionalFormatting sqref="L28:L32">
    <cfRule type="expression" dxfId="424" priority="68">
      <formula>K28=0</formula>
    </cfRule>
    <cfRule type="expression" dxfId="423" priority="77">
      <formula>IF(COUNTIF(J$28:J$32,"=2")=2,TRUE)</formula>
    </cfRule>
    <cfRule type="expression" dxfId="422" priority="78">
      <formula>IF(COUNTIF(J$28:J$32,"=1")=2,TRUE)</formula>
    </cfRule>
    <cfRule type="expression" dxfId="421" priority="79">
      <formula>AND(IF(COUNTIF(Q$28:Q$32,"=1")=2,TRUE),IF(COUNTIF(Q$28:Q$32,"=2")=2,TRUE))</formula>
    </cfRule>
    <cfRule type="expression" dxfId="420" priority="80">
      <formula>AND(Q28=4,IF(COUNTIF(Q$28:Q$32,"=4")=1,TRUE))</formula>
    </cfRule>
    <cfRule type="expression" dxfId="419" priority="81">
      <formula>AND(Q28=3,IF(COUNTIF(Q$28:Q$32,"=3")=1,TRUE))</formula>
    </cfRule>
    <cfRule type="expression" dxfId="418" priority="82">
      <formula>AND(Q28=2,IF(COUNTIF(Q$28:Q$32,"=2")=1,TRUE))</formula>
    </cfRule>
    <cfRule type="expression" dxfId="417" priority="83">
      <formula>AND(Q28=1,IF(COUNTIF(Q$28:Q$32,"=1")=1,TRUE))</formula>
    </cfRule>
    <cfRule type="expression" dxfId="416" priority="84">
      <formula>OR(Q28=0,Q28=5)</formula>
    </cfRule>
  </conditionalFormatting>
  <conditionalFormatting sqref="O28:O32">
    <cfRule type="expression" dxfId="415" priority="76">
      <formula>OR(AND(J28=1,K28=1,L28=0,M28=1),AND(J28=2,K28=2,L28=0,M28=2))</formula>
    </cfRule>
  </conditionalFormatting>
  <conditionalFormatting sqref="M28:M32">
    <cfRule type="expression" dxfId="414" priority="69">
      <formula>AND(L28&gt;0,IF(COUNTIF(L$28:L$32,L28)&gt;1,TRUE,FALSE))</formula>
    </cfRule>
    <cfRule type="expression" dxfId="413" priority="70">
      <formula>AND(IF(COUNTIF(R$28:R$32,"=1")=2,TRUE),IF(COUNTIF(R$28:R$32,"=2")=2,TRUE))</formula>
    </cfRule>
    <cfRule type="expression" dxfId="412" priority="71">
      <formula>AND(R28=4,IF(COUNTIF(R$28:R$32,"=4")=1,TRUE))</formula>
    </cfRule>
    <cfRule type="expression" dxfId="411" priority="72">
      <formula>AND(R28=3,IF(COUNTIF(R$28:R$32,"=3")=1,TRUE))</formula>
    </cfRule>
    <cfRule type="expression" dxfId="410" priority="73">
      <formula>AND(R28=2,IF(COUNTIF(R$28:R$32,"=2")=1,TRUE))</formula>
    </cfRule>
    <cfRule type="expression" dxfId="409" priority="74">
      <formula>AND(R28=1,IF(COUNTIF(R$28:R$32,"=1")=1,TRUE))</formula>
    </cfRule>
    <cfRule type="expression" dxfId="408" priority="75">
      <formula>OR(R28=0,R28=5)</formula>
    </cfRule>
  </conditionalFormatting>
  <conditionalFormatting sqref="J28:J32">
    <cfRule type="expression" dxfId="407" priority="64">
      <formula>AND(Q28=4,IF(COUNTIF(Q$28:Q$32,"=4")&gt;=2,TRUE))</formula>
    </cfRule>
    <cfRule type="expression" dxfId="406" priority="65">
      <formula>AND(Q28=3,IF(COUNTIF(Q$28:Q$32,"=3")&gt;=2,TRUE))</formula>
    </cfRule>
    <cfRule type="expression" dxfId="405" priority="66">
      <formula>AND(Q28=2,IF(COUNTIF(Q$28:Q$32,"=2")&gt;=2,TRUE))</formula>
    </cfRule>
    <cfRule type="expression" dxfId="404" priority="67">
      <formula>AND(Q28=1,IF(COUNTIF(Q$28:Q$32,"=1")&gt;=2,TRUE))</formula>
    </cfRule>
  </conditionalFormatting>
  <conditionalFormatting sqref="K28:K32">
    <cfRule type="expression" dxfId="403" priority="85">
      <formula>AND(J28&gt;0,IF(COUNTIF(J$28:J$32,"=1")=2,TRUE),IF(COUNTIF(J$28:J$32,"=2")=2,TRUE))</formula>
    </cfRule>
    <cfRule type="expression" dxfId="402" priority="86">
      <formula>IF(COUNTIF(L$28:L$32,"=2")=2,TRUE)</formula>
    </cfRule>
    <cfRule type="expression" dxfId="401" priority="87">
      <formula>IF(COUNTIF(L$28:L$32,"=1")=2,TRUE)</formula>
    </cfRule>
    <cfRule type="expression" dxfId="400" priority="88">
      <formula>AND(IF(COUNTIF(R$28:R$32,"=1")=2,TRUE),IF(COUNTIF(S$28:S$32,"=2")=2,TRUE))</formula>
    </cfRule>
    <cfRule type="expression" dxfId="399" priority="89">
      <formula>AND(R28=4,IF(COUNTIF(R$28:R$32,"=4")=1,TRUE))</formula>
    </cfRule>
    <cfRule type="expression" dxfId="398" priority="90">
      <formula>AND(R28=3,IF(COUNTIF(R$28:R$32,"=3")=1,TRUE))</formula>
    </cfRule>
    <cfRule type="expression" dxfId="397" priority="91">
      <formula>AND(R28=2,IF(COUNTIF(R$28:R$32,"=2")=1,TRUE))</formula>
    </cfRule>
    <cfRule type="expression" dxfId="396" priority="92">
      <formula>AND(R28=1,IF(COUNTIF(R$28:R$32,"=1")=1,TRUE))</formula>
    </cfRule>
    <cfRule type="expression" dxfId="395" priority="93">
      <formula>OR(R28=0,R28=5)</formula>
    </cfRule>
  </conditionalFormatting>
  <conditionalFormatting sqref="H28:H32">
    <cfRule type="expression" dxfId="394" priority="60">
      <formula>AND(Q28=4,IF(COUNTIF(Q$28:Q$32,"=4")&gt;=2,TRUE))</formula>
    </cfRule>
    <cfRule type="expression" dxfId="393" priority="61">
      <formula>AND(Q28=3,IF(COUNTIF(Q$28:Q$32,"=3")&gt;=2,TRUE))</formula>
    </cfRule>
    <cfRule type="expression" dxfId="392" priority="62">
      <formula>AND(Q28=2,IF(COUNTIF(Q$28:Q$32,"=2")&gt;=2,TRUE))</formula>
    </cfRule>
    <cfRule type="expression" dxfId="391" priority="63">
      <formula>AND(Q28=1,IF(COUNTIF(Q$28:Q$32,"=1")&gt;=2,TRUE))</formula>
    </cfRule>
  </conditionalFormatting>
  <conditionalFormatting sqref="C102 C104">
    <cfRule type="aboveAverage" dxfId="390" priority="59"/>
  </conditionalFormatting>
  <conditionalFormatting sqref="C102 C104">
    <cfRule type="containsBlanks" dxfId="389" priority="58">
      <formula>LEN(TRIM(C102))=0</formula>
    </cfRule>
  </conditionalFormatting>
  <conditionalFormatting sqref="E103 E107">
    <cfRule type="containsBlanks" dxfId="388" priority="56">
      <formula>LEN(TRIM(E103))=0</formula>
    </cfRule>
    <cfRule type="aboveAverage" dxfId="387" priority="57"/>
  </conditionalFormatting>
  <conditionalFormatting sqref="E111 E115">
    <cfRule type="containsBlanks" dxfId="386" priority="54">
      <formula>LEN(TRIM(E111))=0</formula>
    </cfRule>
    <cfRule type="aboveAverage" dxfId="385" priority="55"/>
  </conditionalFormatting>
  <conditionalFormatting sqref="C106 C108">
    <cfRule type="aboveAverage" dxfId="384" priority="53"/>
  </conditionalFormatting>
  <conditionalFormatting sqref="C106 C108">
    <cfRule type="containsBlanks" dxfId="383" priority="52">
      <formula>LEN(TRIM(C106))=0</formula>
    </cfRule>
  </conditionalFormatting>
  <conditionalFormatting sqref="C110 C112">
    <cfRule type="aboveAverage" dxfId="382" priority="51"/>
  </conditionalFormatting>
  <conditionalFormatting sqref="C110 C112">
    <cfRule type="containsBlanks" dxfId="381" priority="50">
      <formula>LEN(TRIM(C110))=0</formula>
    </cfRule>
  </conditionalFormatting>
  <conditionalFormatting sqref="C114 C116">
    <cfRule type="aboveAverage" dxfId="380" priority="49"/>
  </conditionalFormatting>
  <conditionalFormatting sqref="C114 C116">
    <cfRule type="containsBlanks" dxfId="379" priority="48">
      <formula>LEN(TRIM(C114))=0</formula>
    </cfRule>
  </conditionalFormatting>
  <conditionalFormatting sqref="G117 G119">
    <cfRule type="aboveAverage" dxfId="378" priority="47"/>
  </conditionalFormatting>
  <conditionalFormatting sqref="G117 G119">
    <cfRule type="containsBlanks" dxfId="377" priority="46">
      <formula>LEN(TRIM(G117))=0</formula>
    </cfRule>
  </conditionalFormatting>
  <conditionalFormatting sqref="G105 G113">
    <cfRule type="containsBlanks" dxfId="376" priority="44">
      <formula>LEN(TRIM(G105))=0</formula>
    </cfRule>
    <cfRule type="aboveAverage" dxfId="375" priority="45"/>
  </conditionalFormatting>
  <conditionalFormatting sqref="G124 G128">
    <cfRule type="containsBlanks" dxfId="374" priority="42">
      <formula>LEN(TRIM(G124))=0</formula>
    </cfRule>
    <cfRule type="aboveAverage" dxfId="373" priority="43"/>
  </conditionalFormatting>
  <conditionalFormatting sqref="E123 E125">
    <cfRule type="aboveAverage" dxfId="372" priority="41"/>
  </conditionalFormatting>
  <conditionalFormatting sqref="E123 E125">
    <cfRule type="containsBlanks" dxfId="371" priority="40">
      <formula>LEN(TRIM(E123))=0</formula>
    </cfRule>
  </conditionalFormatting>
  <conditionalFormatting sqref="E127 E129">
    <cfRule type="aboveAverage" dxfId="370" priority="39"/>
  </conditionalFormatting>
  <conditionalFormatting sqref="E127 E129">
    <cfRule type="containsBlanks" dxfId="369" priority="38">
      <formula>LEN(TRIM(E127))=0</formula>
    </cfRule>
  </conditionalFormatting>
  <conditionalFormatting sqref="G131 G133">
    <cfRule type="aboveAverage" dxfId="368" priority="37"/>
  </conditionalFormatting>
  <conditionalFormatting sqref="G131 G133">
    <cfRule type="containsBlanks" dxfId="367" priority="36">
      <formula>LEN(TRIM(G131))=0</formula>
    </cfRule>
  </conditionalFormatting>
  <conditionalFormatting sqref="C140 C142">
    <cfRule type="aboveAverage" dxfId="366" priority="35"/>
  </conditionalFormatting>
  <conditionalFormatting sqref="C140 C142">
    <cfRule type="containsBlanks" dxfId="365" priority="34">
      <formula>LEN(TRIM(C140))=0</formula>
    </cfRule>
  </conditionalFormatting>
  <conditionalFormatting sqref="E141 E145">
    <cfRule type="containsBlanks" dxfId="364" priority="32">
      <formula>LEN(TRIM(E141))=0</formula>
    </cfRule>
    <cfRule type="aboveAverage" dxfId="363" priority="33"/>
  </conditionalFormatting>
  <conditionalFormatting sqref="E149 E153">
    <cfRule type="containsBlanks" dxfId="362" priority="30">
      <formula>LEN(TRIM(E149))=0</formula>
    </cfRule>
    <cfRule type="aboveAverage" dxfId="361" priority="31"/>
  </conditionalFormatting>
  <conditionalFormatting sqref="C144 C146">
    <cfRule type="aboveAverage" dxfId="360" priority="29"/>
  </conditionalFormatting>
  <conditionalFormatting sqref="C144 C146">
    <cfRule type="containsBlanks" dxfId="359" priority="28">
      <formula>LEN(TRIM(C144))=0</formula>
    </cfRule>
  </conditionalFormatting>
  <conditionalFormatting sqref="C148 C150">
    <cfRule type="aboveAverage" dxfId="358" priority="27"/>
  </conditionalFormatting>
  <conditionalFormatting sqref="C148 C150">
    <cfRule type="containsBlanks" dxfId="357" priority="26">
      <formula>LEN(TRIM(C148))=0</formula>
    </cfRule>
  </conditionalFormatting>
  <conditionalFormatting sqref="C152 C154">
    <cfRule type="aboveAverage" dxfId="356" priority="25"/>
  </conditionalFormatting>
  <conditionalFormatting sqref="C152 C154">
    <cfRule type="containsBlanks" dxfId="355" priority="24">
      <formula>LEN(TRIM(C152))=0</formula>
    </cfRule>
  </conditionalFormatting>
  <conditionalFormatting sqref="G155 G157">
    <cfRule type="aboveAverage" dxfId="354" priority="23"/>
  </conditionalFormatting>
  <conditionalFormatting sqref="G155 G157">
    <cfRule type="containsBlanks" dxfId="353" priority="22">
      <formula>LEN(TRIM(G155))=0</formula>
    </cfRule>
  </conditionalFormatting>
  <conditionalFormatting sqref="G143 G151">
    <cfRule type="containsBlanks" dxfId="352" priority="20">
      <formula>LEN(TRIM(G143))=0</formula>
    </cfRule>
    <cfRule type="aboveAverage" dxfId="351" priority="21"/>
  </conditionalFormatting>
  <conditionalFormatting sqref="G162 G166">
    <cfRule type="containsBlanks" dxfId="350" priority="18">
      <formula>LEN(TRIM(G162))=0</formula>
    </cfRule>
    <cfRule type="aboveAverage" dxfId="349" priority="19"/>
  </conditionalFormatting>
  <conditionalFormatting sqref="E161 E163">
    <cfRule type="aboveAverage" dxfId="348" priority="17"/>
  </conditionalFormatting>
  <conditionalFormatting sqref="E161 E163">
    <cfRule type="containsBlanks" dxfId="347" priority="16">
      <formula>LEN(TRIM(E161))=0</formula>
    </cfRule>
  </conditionalFormatting>
  <conditionalFormatting sqref="E165 E167">
    <cfRule type="aboveAverage" dxfId="346" priority="15"/>
  </conditionalFormatting>
  <conditionalFormatting sqref="E165 E167">
    <cfRule type="containsBlanks" dxfId="345" priority="14">
      <formula>LEN(TRIM(E165))=0</formula>
    </cfRule>
  </conditionalFormatting>
  <conditionalFormatting sqref="G169 G171">
    <cfRule type="aboveAverage" dxfId="344" priority="13"/>
  </conditionalFormatting>
  <conditionalFormatting sqref="G169 G171">
    <cfRule type="containsBlanks" dxfId="343" priority="12">
      <formula>LEN(TRIM(G169))=0</formula>
    </cfRule>
  </conditionalFormatting>
  <conditionalFormatting sqref="A300:A304">
    <cfRule type="duplicateValues" dxfId="342" priority="245"/>
  </conditionalFormatting>
  <conditionalFormatting sqref="B300:B304">
    <cfRule type="expression" dxfId="341" priority="246">
      <formula>A300=3</formula>
    </cfRule>
    <cfRule type="expression" dxfId="340" priority="247">
      <formula>A300=2</formula>
    </cfRule>
    <cfRule type="expression" dxfId="339" priority="248">
      <formula>A300=1</formula>
    </cfRule>
    <cfRule type="containsBlanks" dxfId="338" priority="249">
      <formula>LEN(TRIM(B300))=0</formula>
    </cfRule>
    <cfRule type="duplicateValues" dxfId="337" priority="250"/>
  </conditionalFormatting>
  <conditionalFormatting sqref="AJ6:AJ11">
    <cfRule type="expression" dxfId="336" priority="5">
      <formula>AND(AI6="",FIND(",",AJ6))</formula>
    </cfRule>
    <cfRule type="expression" dxfId="335" priority="7">
      <formula>AND(AI6="",COUNTIF(AJ6,"*,*")=0)</formula>
    </cfRule>
  </conditionalFormatting>
  <conditionalFormatting sqref="AH6:AH11">
    <cfRule type="expression" dxfId="334" priority="8">
      <formula>AND(AG6="",FIND(",",AH6))</formula>
    </cfRule>
    <cfRule type="expression" dxfId="333" priority="9">
      <formula>AND(AG6="",COUNTIF(AH6,"*,*")=0)</formula>
    </cfRule>
  </conditionalFormatting>
  <conditionalFormatting sqref="AL6:AL11">
    <cfRule type="expression" dxfId="332" priority="10">
      <formula>AND(AK6="",FIND(",",AL6))</formula>
    </cfRule>
    <cfRule type="expression" dxfId="331" priority="11">
      <formula>AND(AK6="",COUNTIF(AL6,"*,*")=0)</formula>
    </cfRule>
  </conditionalFormatting>
  <conditionalFormatting sqref="AF6:AF11">
    <cfRule type="expression" dxfId="330" priority="6">
      <formula>AND(AE6="",COUNTIF(AF6,"*,*")=0)</formula>
    </cfRule>
  </conditionalFormatting>
  <conditionalFormatting sqref="AN6:AN11">
    <cfRule type="expression" dxfId="329" priority="2">
      <formula>AND(AM6="",COUNTIF(AN6,"*,*")=0)</formula>
    </cfRule>
    <cfRule type="expression" dxfId="328" priority="4">
      <formula>AND(AM6="",FIND(",",AN6))</formula>
    </cfRule>
  </conditionalFormatting>
  <conditionalFormatting sqref="AP6:AP11">
    <cfRule type="expression" dxfId="327" priority="1">
      <formula>AND(AO6="",COUNTIF(AP6,"*,*")=0)</formula>
    </cfRule>
    <cfRule type="expression" dxfId="326" priority="3">
      <formula>AND(AO6="",FIND(",",AP6))</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pageSetUpPr fitToPage="1"/>
  </sheetPr>
  <dimension ref="A1:AF312"/>
  <sheetViews>
    <sheetView showGridLines="0" showRowColHeaders="0" zoomScaleNormal="100" workbookViewId="0">
      <pane ySplit="2" topLeftCell="A3" activePane="bottomLeft" state="frozen"/>
      <selection pane="bottomLeft" activeCell="A297" sqref="A297"/>
    </sheetView>
  </sheetViews>
  <sheetFormatPr defaultRowHeight="12.75" x14ac:dyDescent="0.2"/>
  <cols>
    <col min="1" max="1" width="3.28515625" customWidth="1"/>
    <col min="2" max="2" width="16.570312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1" width="9.140625" customWidth="1"/>
    <col min="22" max="26" width="9.140625" hidden="1" customWidth="1"/>
    <col min="27" max="27" width="0" hidden="1" customWidth="1"/>
    <col min="29" max="29" width="9.140625" customWidth="1"/>
    <col min="30" max="30" width="9.140625" hidden="1" customWidth="1"/>
    <col min="31" max="31" width="16.5703125" hidden="1" customWidth="1"/>
    <col min="32" max="32" width="9.140625" hidden="1" customWidth="1"/>
  </cols>
  <sheetData>
    <row r="1" spans="1:32" x14ac:dyDescent="0.2">
      <c r="A1" s="462" t="str">
        <f>UPPER((Kalend!E42)&amp;" - "&amp;(Kalend!C42)&amp;" - "&amp;(Kalend!D42))</f>
        <v>V-Ü - VIRU SK LIIKMETE MV - ÜKSIK</v>
      </c>
      <c r="E1" s="405"/>
      <c r="F1" s="405"/>
      <c r="G1" s="405"/>
      <c r="H1" s="405"/>
      <c r="I1" s="405"/>
      <c r="J1" s="405"/>
      <c r="K1" s="405"/>
      <c r="L1" s="405"/>
      <c r="M1" s="586"/>
      <c r="N1" s="586"/>
      <c r="O1" s="587"/>
      <c r="P1" s="549" t="s">
        <v>68</v>
      </c>
      <c r="Q1" s="586"/>
      <c r="R1" s="586"/>
      <c r="S1" s="586"/>
      <c r="T1" s="586"/>
      <c r="AD1" s="176" t="s">
        <v>68</v>
      </c>
      <c r="AE1" s="536"/>
      <c r="AF1" s="536"/>
    </row>
    <row r="2" spans="1:32" x14ac:dyDescent="0.2">
      <c r="A2" s="409" t="str">
        <f>"Toimumisaeg: "&amp;(Kalend!A42)&amp;" kell "&amp;(Kalend!B42)</f>
        <v>Toimumisaeg: P, 25.09.2021 kell 11:00</v>
      </c>
      <c r="E2" s="405"/>
      <c r="F2" s="405"/>
      <c r="G2" s="405"/>
      <c r="H2" s="405"/>
      <c r="I2" s="405"/>
      <c r="J2" s="405"/>
      <c r="K2" s="405"/>
      <c r="L2" s="405"/>
      <c r="AD2" s="409"/>
      <c r="AE2" s="409"/>
      <c r="AF2" s="409"/>
    </row>
    <row r="3" spans="1:32" x14ac:dyDescent="0.2">
      <c r="A3" s="409" t="str">
        <f>"Toimumiskoht: "&amp;(Kalend!F42)</f>
        <v>Toimumiskoht: Voka petangihall</v>
      </c>
      <c r="L3" s="410" t="s">
        <v>227</v>
      </c>
    </row>
    <row r="4" spans="1:32" x14ac:dyDescent="0.2">
      <c r="A4" s="409" t="str">
        <f>"Korraldaja: "&amp;(Kalend!G42)</f>
        <v>Korraldaja: Johannes Neiland</v>
      </c>
      <c r="AD4" s="537" t="s">
        <v>231</v>
      </c>
      <c r="AF4" s="409"/>
    </row>
    <row r="5" spans="1:32" hidden="1" x14ac:dyDescent="0.2">
      <c r="R5" s="588" t="s">
        <v>311</v>
      </c>
      <c r="AD5" s="538" t="s">
        <v>287</v>
      </c>
      <c r="AE5" s="540" t="s">
        <v>93</v>
      </c>
      <c r="AF5" s="539"/>
    </row>
    <row r="6" spans="1:32" hidden="1" x14ac:dyDescent="0.2">
      <c r="A6" s="550" t="s">
        <v>200</v>
      </c>
      <c r="B6" s="970"/>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978"/>
      <c r="AF6" s="540"/>
    </row>
    <row r="7" spans="1:32" hidden="1" x14ac:dyDescent="0.2">
      <c r="A7" s="550">
        <v>1</v>
      </c>
      <c r="B7" s="971" t="s">
        <v>124</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26">
        <f ca="1">SUM(AF7:AF7)</f>
        <v>286</v>
      </c>
      <c r="AE7" s="543" t="str">
        <f>$B7</f>
        <v>Henri Mitt</v>
      </c>
      <c r="AF7" s="544">
        <f ca="1">IFERROR(INDEX(Reit!$I:$I,MATCH(AE7,Reit!$F:$F,0)),"")</f>
        <v>286</v>
      </c>
    </row>
    <row r="8" spans="1:32" hidden="1" x14ac:dyDescent="0.2">
      <c r="A8" s="550">
        <v>2</v>
      </c>
      <c r="B8" s="969" t="s">
        <v>152</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26">
        <f ca="1">SUM(AF8:AF8)</f>
        <v>156</v>
      </c>
      <c r="AE8" s="543" t="str">
        <f>$B8</f>
        <v>Sander Rose</v>
      </c>
      <c r="AF8" s="544">
        <f ca="1">IFERROR(INDEX(Reit!$I:$I,MATCH(AE8,Reit!$F:$F,0)),"")</f>
        <v>156</v>
      </c>
    </row>
    <row r="9" spans="1:32" hidden="1" x14ac:dyDescent="0.2">
      <c r="A9" s="550">
        <v>3</v>
      </c>
      <c r="B9" s="969" t="s">
        <v>117</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26">
        <f ca="1">SUM(AF9:AF9)</f>
        <v>174</v>
      </c>
      <c r="AE9" s="543" t="str">
        <f>$B9</f>
        <v>Andrei Grintšak</v>
      </c>
      <c r="AF9" s="544">
        <f ca="1">IFERROR(INDEX(Reit!$I:$I,MATCH(AE9,Reit!$F:$F,0)),"")</f>
        <v>174</v>
      </c>
    </row>
    <row r="10" spans="1:32" hidden="1" x14ac:dyDescent="0.2">
      <c r="A10" s="550">
        <v>4</v>
      </c>
      <c r="B10" s="972" t="s">
        <v>129</v>
      </c>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U10" s="584"/>
      <c r="AD10" s="426">
        <f t="shared" ref="AD10:AD23" ca="1" si="0">SUM(AF10:AF10)</f>
        <v>68</v>
      </c>
      <c r="AE10" s="543" t="str">
        <f t="shared" ref="AE10:AE30" si="1">$B10</f>
        <v>Enn Tokman</v>
      </c>
      <c r="AF10" s="544">
        <f ca="1">IFERROR(INDEX(Reit!$I:$I,MATCH(AE10,Reit!$F:$F,0)),"")</f>
        <v>68</v>
      </c>
    </row>
    <row r="11" spans="1:32" hidden="1" x14ac:dyDescent="0.2">
      <c r="A11" s="550">
        <v>5</v>
      </c>
      <c r="B11" s="972"/>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26">
        <f t="shared" si="0"/>
        <v>0</v>
      </c>
      <c r="AE11" s="543">
        <f t="shared" si="1"/>
        <v>0</v>
      </c>
      <c r="AF11" s="544" t="str">
        <f>IFERROR(INDEX(Reit!$I:$I,MATCH(AE11,Reit!$F:$F,0)),"")</f>
        <v/>
      </c>
    </row>
    <row r="12" spans="1:32" hidden="1" x14ac:dyDescent="0.2">
      <c r="A12" s="592"/>
      <c r="B12" s="973"/>
      <c r="C12" s="594"/>
      <c r="D12" s="595"/>
      <c r="E12" s="594"/>
      <c r="F12" s="596"/>
      <c r="G12" s="597"/>
      <c r="H12" s="598"/>
      <c r="I12" s="405"/>
      <c r="J12" s="584"/>
      <c r="K12" s="584"/>
      <c r="L12" s="584"/>
      <c r="M12" s="584"/>
      <c r="N12" s="584"/>
      <c r="O12" s="584"/>
      <c r="P12" s="584"/>
      <c r="Q12" s="584"/>
      <c r="R12" s="588" t="s">
        <v>311</v>
      </c>
      <c r="S12" s="584"/>
      <c r="T12" s="584"/>
      <c r="U12" s="584"/>
      <c r="AD12" s="426">
        <f t="shared" si="0"/>
        <v>0</v>
      </c>
      <c r="AE12" s="543">
        <f t="shared" si="1"/>
        <v>0</v>
      </c>
      <c r="AF12" s="544" t="str">
        <f>IFERROR(INDEX(Reit!$I:$I,MATCH(AE12,Reit!$F:$F,0)),"")</f>
        <v/>
      </c>
    </row>
    <row r="13" spans="1:32" hidden="1" x14ac:dyDescent="0.2">
      <c r="A13" s="550" t="s">
        <v>201</v>
      </c>
      <c r="B13" s="970"/>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26">
        <f t="shared" si="0"/>
        <v>0</v>
      </c>
      <c r="AE13" s="543">
        <f t="shared" si="1"/>
        <v>0</v>
      </c>
      <c r="AF13" s="544" t="str">
        <f>IFERROR(INDEX(Reit!$I:$I,MATCH(AE13,Reit!$F:$F,0)),"")</f>
        <v/>
      </c>
    </row>
    <row r="14" spans="1:32" hidden="1" x14ac:dyDescent="0.2">
      <c r="A14" s="550">
        <v>1</v>
      </c>
      <c r="B14" s="974" t="s">
        <v>135</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26">
        <f t="shared" ca="1" si="0"/>
        <v>211</v>
      </c>
      <c r="AE14" s="543" t="str">
        <f t="shared" si="1"/>
        <v>Kaspar Mänd</v>
      </c>
      <c r="AF14" s="544">
        <f ca="1">IFERROR(INDEX(Reit!$I:$I,MATCH(AE14,Reit!$F:$F,0)),"")</f>
        <v>211</v>
      </c>
    </row>
    <row r="15" spans="1:32" hidden="1" x14ac:dyDescent="0.2">
      <c r="A15" s="550">
        <v>2</v>
      </c>
      <c r="B15" s="971" t="s">
        <v>112</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26">
        <f t="shared" ca="1" si="0"/>
        <v>197</v>
      </c>
      <c r="AE15" s="543" t="str">
        <f t="shared" si="1"/>
        <v>Andres Veski</v>
      </c>
      <c r="AF15" s="544">
        <f ca="1">IFERROR(INDEX(Reit!$I:$I,MATCH(AE15,Reit!$F:$F,0)),"")</f>
        <v>197</v>
      </c>
    </row>
    <row r="16" spans="1:32" hidden="1" x14ac:dyDescent="0.2">
      <c r="A16" s="550">
        <v>3</v>
      </c>
      <c r="B16" s="969" t="s">
        <v>488</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26">
        <f t="shared" ca="1" si="0"/>
        <v>19</v>
      </c>
      <c r="AE16" s="543" t="str">
        <f t="shared" si="1"/>
        <v>Sirje Maala</v>
      </c>
      <c r="AF16" s="544">
        <f ca="1">IFERROR(INDEX(Reit!$I:$I,MATCH(AE16,Reit!$F:$F,0)),"")</f>
        <v>19</v>
      </c>
    </row>
    <row r="17" spans="1:32" hidden="1" x14ac:dyDescent="0.2">
      <c r="A17" s="550">
        <v>4</v>
      </c>
      <c r="B17" s="972"/>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U17" s="584"/>
      <c r="AD17" s="426">
        <f t="shared" si="0"/>
        <v>0</v>
      </c>
      <c r="AE17" s="543">
        <f t="shared" si="1"/>
        <v>0</v>
      </c>
      <c r="AF17" s="544" t="str">
        <f>IFERROR(INDEX(Reit!$I:$I,MATCH(AE17,Reit!$F:$F,0)),"")</f>
        <v/>
      </c>
    </row>
    <row r="18" spans="1:32" hidden="1" x14ac:dyDescent="0.2">
      <c r="A18" s="550">
        <v>5</v>
      </c>
      <c r="B18" s="972"/>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26">
        <f t="shared" si="0"/>
        <v>0</v>
      </c>
      <c r="AE18" s="543">
        <f t="shared" si="1"/>
        <v>0</v>
      </c>
      <c r="AF18" s="544" t="str">
        <f>IFERROR(INDEX(Reit!$I:$I,MATCH(AE18,Reit!$F:$F,0)),"")</f>
        <v/>
      </c>
    </row>
    <row r="19" spans="1:32" hidden="1" x14ac:dyDescent="0.2">
      <c r="A19" s="592"/>
      <c r="B19" s="973"/>
      <c r="C19" s="594"/>
      <c r="D19" s="595"/>
      <c r="E19" s="594"/>
      <c r="F19" s="596"/>
      <c r="G19" s="597"/>
      <c r="H19" s="598"/>
      <c r="I19" s="614"/>
      <c r="J19" s="584"/>
      <c r="K19" s="584"/>
      <c r="L19" s="584"/>
      <c r="M19" s="584"/>
      <c r="N19" s="584"/>
      <c r="O19" s="584"/>
      <c r="P19" s="584"/>
      <c r="Q19" s="584"/>
      <c r="R19" s="588" t="s">
        <v>311</v>
      </c>
      <c r="S19" s="584"/>
      <c r="T19" s="584"/>
      <c r="U19" s="584"/>
      <c r="AD19" s="426">
        <f t="shared" si="0"/>
        <v>0</v>
      </c>
      <c r="AE19" s="543">
        <f t="shared" si="1"/>
        <v>0</v>
      </c>
      <c r="AF19" s="544" t="str">
        <f>IFERROR(INDEX(Reit!$I:$I,MATCH(AE19,Reit!$F:$F,0)),"")</f>
        <v/>
      </c>
    </row>
    <row r="20" spans="1:32" hidden="1" x14ac:dyDescent="0.2">
      <c r="A20" s="550" t="s">
        <v>202</v>
      </c>
      <c r="B20" s="970"/>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26">
        <f t="shared" si="0"/>
        <v>0</v>
      </c>
      <c r="AE20" s="543">
        <f t="shared" si="1"/>
        <v>0</v>
      </c>
      <c r="AF20" s="544" t="str">
        <f>IFERROR(INDEX(Reit!$I:$I,MATCH(AE20,Reit!$F:$F,0)),"")</f>
        <v/>
      </c>
    </row>
    <row r="21" spans="1:32" hidden="1" x14ac:dyDescent="0.2">
      <c r="A21" s="550">
        <v>1</v>
      </c>
      <c r="B21" s="971" t="s">
        <v>118</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26">
        <f t="shared" ca="1" si="0"/>
        <v>206</v>
      </c>
      <c r="AE21" s="543" t="str">
        <f t="shared" si="1"/>
        <v>Svetlana Veski</v>
      </c>
      <c r="AF21" s="544">
        <f ca="1">IFERROR(INDEX(Reit!$I:$I,MATCH(AE21,Reit!$F:$F,0)),"")</f>
        <v>206</v>
      </c>
    </row>
    <row r="22" spans="1:32" hidden="1" x14ac:dyDescent="0.2">
      <c r="A22" s="550">
        <v>2</v>
      </c>
      <c r="B22" s="969" t="s">
        <v>401</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26">
        <f t="shared" ca="1" si="0"/>
        <v>116</v>
      </c>
      <c r="AE22" s="543" t="str">
        <f t="shared" si="1"/>
        <v>Olav Türk</v>
      </c>
      <c r="AF22" s="544">
        <f ca="1">IFERROR(INDEX(Reit!$I:$I,MATCH(AE22,Reit!$F:$F,0)),"")</f>
        <v>116</v>
      </c>
    </row>
    <row r="23" spans="1:32" hidden="1" x14ac:dyDescent="0.2">
      <c r="A23" s="550">
        <v>3</v>
      </c>
      <c r="B23" s="969" t="s">
        <v>157</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26">
        <f t="shared" si="0"/>
        <v>0</v>
      </c>
      <c r="AE23" s="543" t="str">
        <f t="shared" si="1"/>
        <v>Melika Lehtla</v>
      </c>
      <c r="AF23" s="544" t="str">
        <f>IFERROR(INDEX(Reit!$I:$I,MATCH(AE23,Reit!$F:$F,0)),"")</f>
        <v/>
      </c>
    </row>
    <row r="24" spans="1:32" hidden="1" x14ac:dyDescent="0.2">
      <c r="A24" s="550">
        <v>4</v>
      </c>
      <c r="B24" s="969"/>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c r="AD24" s="426">
        <f t="shared" ref="AD24:AD28" si="2">SUM(AF24:AF24)</f>
        <v>0</v>
      </c>
      <c r="AE24" s="543">
        <f t="shared" si="1"/>
        <v>0</v>
      </c>
      <c r="AF24" s="544" t="str">
        <f>IFERROR(INDEX(Reit!$I:$I,MATCH(AE24,Reit!$F:$F,0)),"")</f>
        <v/>
      </c>
    </row>
    <row r="25" spans="1:32" hidden="1" x14ac:dyDescent="0.2">
      <c r="A25" s="550">
        <v>5</v>
      </c>
      <c r="B25" s="972"/>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c r="AD25" s="426">
        <f t="shared" si="2"/>
        <v>0</v>
      </c>
      <c r="AE25" s="543">
        <f t="shared" si="1"/>
        <v>0</v>
      </c>
      <c r="AF25" s="544" t="str">
        <f>IFERROR(INDEX(Reit!$I:$I,MATCH(AE25,Reit!$F:$F,0)),"")</f>
        <v/>
      </c>
    </row>
    <row r="26" spans="1:32" hidden="1" x14ac:dyDescent="0.2">
      <c r="A26" s="615"/>
      <c r="B26" s="975"/>
      <c r="C26" s="597"/>
      <c r="D26" s="597"/>
      <c r="E26" s="597"/>
      <c r="F26" s="616"/>
      <c r="G26" s="616"/>
      <c r="H26" s="617"/>
      <c r="I26" s="587"/>
      <c r="J26" s="584"/>
      <c r="K26" s="584"/>
      <c r="L26" s="584"/>
      <c r="M26" s="584"/>
      <c r="N26" s="584"/>
      <c r="O26" s="584"/>
      <c r="P26" s="584"/>
      <c r="Q26" s="584"/>
      <c r="R26" s="588" t="s">
        <v>311</v>
      </c>
      <c r="S26" s="584"/>
      <c r="T26" s="584"/>
      <c r="U26" s="584"/>
      <c r="AD26" s="426">
        <f t="shared" si="2"/>
        <v>0</v>
      </c>
      <c r="AE26" s="543">
        <f t="shared" si="1"/>
        <v>0</v>
      </c>
      <c r="AF26" s="544" t="str">
        <f>IFERROR(INDEX(Reit!$I:$I,MATCH(AE26,Reit!$F:$F,0)),"")</f>
        <v/>
      </c>
    </row>
    <row r="27" spans="1:32" hidden="1" x14ac:dyDescent="0.2">
      <c r="A27" s="550" t="s">
        <v>203</v>
      </c>
      <c r="B27" s="970"/>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26">
        <f t="shared" si="2"/>
        <v>0</v>
      </c>
      <c r="AE27" s="543">
        <f t="shared" si="1"/>
        <v>0</v>
      </c>
      <c r="AF27" s="544" t="str">
        <f>IFERROR(INDEX(Reit!$I:$I,MATCH(AE27,Reit!$F:$F,0)),"")</f>
        <v/>
      </c>
    </row>
    <row r="28" spans="1:32" hidden="1" x14ac:dyDescent="0.2">
      <c r="A28" s="550">
        <v>1</v>
      </c>
      <c r="B28" s="976" t="s">
        <v>142</v>
      </c>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0.01</v>
      </c>
      <c r="T28" s="575" t="str">
        <f>Q28&amp;J28</f>
        <v>00</v>
      </c>
      <c r="U28" s="584"/>
      <c r="AD28" s="426">
        <f t="shared" ca="1" si="2"/>
        <v>44</v>
      </c>
      <c r="AE28" s="543" t="str">
        <f t="shared" si="1"/>
        <v>Illar Tõnurist</v>
      </c>
      <c r="AF28" s="544">
        <f ca="1">IFERROR(INDEX(Reit!$I:$I,MATCH(AE28,Reit!$F:$F,0)),"")</f>
        <v>44</v>
      </c>
    </row>
    <row r="29" spans="1:32" hidden="1" x14ac:dyDescent="0.2">
      <c r="A29" s="550">
        <v>2</v>
      </c>
      <c r="B29" s="969" t="s">
        <v>144</v>
      </c>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0.01</v>
      </c>
      <c r="T29" s="575" t="str">
        <f>Q29&amp;J29</f>
        <v>00</v>
      </c>
      <c r="U29" s="584"/>
      <c r="AD29" s="426">
        <f t="shared" ref="AD29:AD30" ca="1" si="3">SUM(AF29:AF29)</f>
        <v>38</v>
      </c>
      <c r="AE29" s="543" t="str">
        <f t="shared" si="1"/>
        <v>Tarmo Bombe</v>
      </c>
      <c r="AF29" s="544">
        <f ca="1">IFERROR(INDEX(Reit!$I:$I,MATCH(AE29,Reit!$F:$F,0)),"")</f>
        <v>38</v>
      </c>
    </row>
    <row r="30" spans="1:32" hidden="1" x14ac:dyDescent="0.2">
      <c r="A30" s="550">
        <v>3</v>
      </c>
      <c r="B30" s="969" t="s">
        <v>110</v>
      </c>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0.01</v>
      </c>
      <c r="T30" s="575" t="str">
        <f>Q30&amp;J30</f>
        <v>00</v>
      </c>
      <c r="U30" s="584"/>
      <c r="AD30" s="426">
        <f t="shared" ca="1" si="3"/>
        <v>273</v>
      </c>
      <c r="AE30" s="543" t="str">
        <f t="shared" si="1"/>
        <v>Kenneth Muusikus</v>
      </c>
      <c r="AF30" s="544">
        <f ca="1">IFERROR(INDEX(Reit!$I:$I,MATCH(AE30,Reit!$F:$F,0)),"")</f>
        <v>273</v>
      </c>
    </row>
    <row r="31" spans="1:32" hidden="1" x14ac:dyDescent="0.2">
      <c r="A31" s="550">
        <v>4</v>
      </c>
      <c r="B31" s="972"/>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row>
    <row r="32" spans="1:32" hidden="1" x14ac:dyDescent="0.2">
      <c r="A32" s="550">
        <v>5</v>
      </c>
      <c r="B32" s="972"/>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row>
    <row r="33" spans="1:21"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9" spans="1:3" x14ac:dyDescent="0.2">
      <c r="A299" s="403"/>
      <c r="B299" s="403"/>
      <c r="C299" s="397"/>
    </row>
    <row r="300" spans="1:3" x14ac:dyDescent="0.2">
      <c r="A300" s="449">
        <v>1</v>
      </c>
      <c r="B300" s="450" t="s">
        <v>124</v>
      </c>
      <c r="C300" s="981"/>
    </row>
    <row r="301" spans="1:3" x14ac:dyDescent="0.2">
      <c r="A301" s="449">
        <v>2</v>
      </c>
      <c r="B301" s="450" t="s">
        <v>152</v>
      </c>
      <c r="C301" s="981"/>
    </row>
    <row r="302" spans="1:3" x14ac:dyDescent="0.2">
      <c r="A302" s="449">
        <v>3</v>
      </c>
      <c r="B302" s="450" t="s">
        <v>117</v>
      </c>
      <c r="C302" s="981"/>
    </row>
    <row r="303" spans="1:3" x14ac:dyDescent="0.2">
      <c r="A303" s="449">
        <v>4</v>
      </c>
      <c r="B303" s="450" t="s">
        <v>129</v>
      </c>
      <c r="C303" s="981"/>
    </row>
    <row r="304" spans="1:3" x14ac:dyDescent="0.2">
      <c r="A304" s="449">
        <v>5</v>
      </c>
      <c r="B304" s="450" t="s">
        <v>135</v>
      </c>
      <c r="C304" s="981"/>
    </row>
    <row r="305" spans="1:3" x14ac:dyDescent="0.2">
      <c r="A305" s="449">
        <v>6</v>
      </c>
      <c r="B305" s="450" t="s">
        <v>112</v>
      </c>
      <c r="C305" s="981"/>
    </row>
    <row r="306" spans="1:3" x14ac:dyDescent="0.2">
      <c r="A306" s="449">
        <v>7</v>
      </c>
      <c r="B306" s="968" t="s">
        <v>488</v>
      </c>
      <c r="C306" s="981"/>
    </row>
    <row r="307" spans="1:3" x14ac:dyDescent="0.2">
      <c r="A307" s="449">
        <v>8</v>
      </c>
      <c r="B307" s="450" t="s">
        <v>118</v>
      </c>
      <c r="C307" s="981"/>
    </row>
    <row r="308" spans="1:3" x14ac:dyDescent="0.2">
      <c r="A308" s="449">
        <v>9</v>
      </c>
      <c r="B308" s="450" t="s">
        <v>401</v>
      </c>
      <c r="C308" s="981"/>
    </row>
    <row r="309" spans="1:3" x14ac:dyDescent="0.2">
      <c r="A309" s="449">
        <v>10</v>
      </c>
      <c r="B309" s="450" t="s">
        <v>157</v>
      </c>
      <c r="C309" s="981"/>
    </row>
    <row r="310" spans="1:3" x14ac:dyDescent="0.2">
      <c r="A310" s="449">
        <v>11</v>
      </c>
      <c r="B310" s="450" t="s">
        <v>142</v>
      </c>
      <c r="C310" s="981"/>
    </row>
    <row r="311" spans="1:3" x14ac:dyDescent="0.2">
      <c r="A311" s="449">
        <v>12</v>
      </c>
      <c r="B311" s="450" t="s">
        <v>144</v>
      </c>
      <c r="C311" s="981"/>
    </row>
    <row r="312" spans="1:3" x14ac:dyDescent="0.2">
      <c r="A312" s="449">
        <v>13</v>
      </c>
      <c r="B312" s="450" t="s">
        <v>110</v>
      </c>
      <c r="C312" s="981"/>
    </row>
  </sheetData>
  <conditionalFormatting sqref="D7 C8">
    <cfRule type="aboveAverage" dxfId="325" priority="241"/>
  </conditionalFormatting>
  <conditionalFormatting sqref="E7 C9">
    <cfRule type="aboveAverage" dxfId="324" priority="240"/>
  </conditionalFormatting>
  <conditionalFormatting sqref="F7 C10">
    <cfRule type="aboveAverage" dxfId="323" priority="239"/>
  </conditionalFormatting>
  <conditionalFormatting sqref="E8 D9">
    <cfRule type="aboveAverage" dxfId="322" priority="238"/>
  </conditionalFormatting>
  <conditionalFormatting sqref="G7 C11">
    <cfRule type="aboveAverage" dxfId="321" priority="237"/>
  </conditionalFormatting>
  <conditionalFormatting sqref="F8 D10">
    <cfRule type="aboveAverage" dxfId="320" priority="236"/>
  </conditionalFormatting>
  <conditionalFormatting sqref="G8 D11">
    <cfRule type="aboveAverage" dxfId="319" priority="235"/>
  </conditionalFormatting>
  <conditionalFormatting sqref="F9 E10">
    <cfRule type="aboveAverage" dxfId="318" priority="234"/>
  </conditionalFormatting>
  <conditionalFormatting sqref="G9 E11">
    <cfRule type="aboveAverage" dxfId="317" priority="233"/>
  </conditionalFormatting>
  <conditionalFormatting sqref="F11 G10">
    <cfRule type="aboveAverage" dxfId="316" priority="232"/>
  </conditionalFormatting>
  <conditionalFormatting sqref="D14 C15">
    <cfRule type="aboveAverage" dxfId="315" priority="231"/>
  </conditionalFormatting>
  <conditionalFormatting sqref="E14 C16">
    <cfRule type="aboveAverage" dxfId="314" priority="230"/>
  </conditionalFormatting>
  <conditionalFormatting sqref="F14 C17">
    <cfRule type="aboveAverage" dxfId="313" priority="229"/>
  </conditionalFormatting>
  <conditionalFormatting sqref="E15 D16">
    <cfRule type="aboveAverage" dxfId="312" priority="228"/>
  </conditionalFormatting>
  <conditionalFormatting sqref="G14 C18">
    <cfRule type="aboveAverage" dxfId="311" priority="227"/>
  </conditionalFormatting>
  <conditionalFormatting sqref="F15 D17">
    <cfRule type="aboveAverage" dxfId="310" priority="226"/>
  </conditionalFormatting>
  <conditionalFormatting sqref="G15 D18">
    <cfRule type="aboveAverage" dxfId="309" priority="225"/>
  </conditionalFormatting>
  <conditionalFormatting sqref="F16 E17">
    <cfRule type="aboveAverage" dxfId="308" priority="224"/>
  </conditionalFormatting>
  <conditionalFormatting sqref="G16 E18">
    <cfRule type="aboveAverage" dxfId="307" priority="223"/>
  </conditionalFormatting>
  <conditionalFormatting sqref="F18 G17">
    <cfRule type="aboveAverage" dxfId="306" priority="222"/>
  </conditionalFormatting>
  <conditionalFormatting sqref="D21 C22">
    <cfRule type="aboveAverage" dxfId="305" priority="221"/>
  </conditionalFormatting>
  <conditionalFormatting sqref="E21 C23">
    <cfRule type="aboveAverage" dxfId="304" priority="220"/>
  </conditionalFormatting>
  <conditionalFormatting sqref="F21 C24">
    <cfRule type="aboveAverage" dxfId="303" priority="219"/>
  </conditionalFormatting>
  <conditionalFormatting sqref="E22 D23">
    <cfRule type="aboveAverage" dxfId="302" priority="218"/>
  </conditionalFormatting>
  <conditionalFormatting sqref="G21 C25">
    <cfRule type="aboveAverage" dxfId="301" priority="217"/>
  </conditionalFormatting>
  <conditionalFormatting sqref="F22 D24">
    <cfRule type="aboveAverage" dxfId="300" priority="216"/>
  </conditionalFormatting>
  <conditionalFormatting sqref="G22 D25">
    <cfRule type="aboveAverage" dxfId="299" priority="215"/>
  </conditionalFormatting>
  <conditionalFormatting sqref="F23 E24">
    <cfRule type="aboveAverage" dxfId="298" priority="214"/>
  </conditionalFormatting>
  <conditionalFormatting sqref="G23 E25">
    <cfRule type="aboveAverage" dxfId="297" priority="213"/>
  </conditionalFormatting>
  <conditionalFormatting sqref="F25 G24">
    <cfRule type="aboveAverage" dxfId="296" priority="212"/>
  </conditionalFormatting>
  <conditionalFormatting sqref="D28 C29">
    <cfRule type="aboveAverage" dxfId="295" priority="211"/>
  </conditionalFormatting>
  <conditionalFormatting sqref="E28 C30">
    <cfRule type="aboveAverage" dxfId="294" priority="210"/>
  </conditionalFormatting>
  <conditionalFormatting sqref="F28 C31">
    <cfRule type="aboveAverage" dxfId="293" priority="209"/>
  </conditionalFormatting>
  <conditionalFormatting sqref="E29 D30">
    <cfRule type="aboveAverage" dxfId="292" priority="208"/>
  </conditionalFormatting>
  <conditionalFormatting sqref="G28 C32">
    <cfRule type="aboveAverage" dxfId="291" priority="207"/>
  </conditionalFormatting>
  <conditionalFormatting sqref="F29 D31">
    <cfRule type="aboveAverage" dxfId="290" priority="206"/>
  </conditionalFormatting>
  <conditionalFormatting sqref="G29 D32">
    <cfRule type="aboveAverage" dxfId="289" priority="205"/>
  </conditionalFormatting>
  <conditionalFormatting sqref="F30 E31">
    <cfRule type="aboveAverage" dxfId="288" priority="204"/>
  </conditionalFormatting>
  <conditionalFormatting sqref="G30 E32">
    <cfRule type="aboveAverage" dxfId="287" priority="203"/>
  </conditionalFormatting>
  <conditionalFormatting sqref="F32 G31">
    <cfRule type="aboveAverage" dxfId="286" priority="202"/>
  </conditionalFormatting>
  <conditionalFormatting sqref="I28:I32">
    <cfRule type="expression" dxfId="285" priority="196">
      <formula>FIND(2,I28,1)</formula>
    </cfRule>
    <cfRule type="expression" dxfId="284" priority="197">
      <formula>FIND(1,I28,1)</formula>
    </cfRule>
  </conditionalFormatting>
  <conditionalFormatting sqref="I21:I25">
    <cfRule type="expression" dxfId="283" priority="198">
      <formula>FIND(2,I21,1)</formula>
    </cfRule>
    <cfRule type="expression" dxfId="282" priority="199">
      <formula>FIND(1,I21,1)</formula>
    </cfRule>
  </conditionalFormatting>
  <conditionalFormatting sqref="I7:I11">
    <cfRule type="expression" dxfId="281" priority="200">
      <formula>FIND(2,I7,1)</formula>
    </cfRule>
    <cfRule type="expression" dxfId="280" priority="201">
      <formula>FIND(1,I7,1)</formula>
    </cfRule>
  </conditionalFormatting>
  <conditionalFormatting sqref="H14:H18">
    <cfRule type="expression" dxfId="279" priority="140">
      <formula>AND(Q14=4,IF(COUNTIF(Q$14:Q$18,"=4")&gt;=2,TRUE))</formula>
    </cfRule>
    <cfRule type="expression" dxfId="278" priority="242">
      <formula>AND(Q14=3,IF(COUNTIF(Q$14:Q$18,"=3")&gt;=2,TRUE))</formula>
    </cfRule>
    <cfRule type="expression" dxfId="277" priority="243">
      <formula>AND(Q14=2,IF(COUNTIF(Q$14:Q$18,"=2")&gt;=2,TRUE))</formula>
    </cfRule>
    <cfRule type="expression" dxfId="276" priority="244">
      <formula>AND(Q14=1,IF(COUNTIF(Q$14:Q$18,"=1")&gt;=2,TRUE))</formula>
    </cfRule>
  </conditionalFormatting>
  <conditionalFormatting sqref="B7:B33">
    <cfRule type="duplicateValues" dxfId="275" priority="195"/>
  </conditionalFormatting>
  <conditionalFormatting sqref="L7:L11">
    <cfRule type="expression" dxfId="274" priority="178">
      <formula>K7=0</formula>
    </cfRule>
    <cfRule type="expression" dxfId="273" priority="187">
      <formula>IF(COUNTIF(J$7:J$11,"=2")=2,TRUE)</formula>
    </cfRule>
    <cfRule type="expression" dxfId="272" priority="188">
      <formula>IF(COUNTIF(J$7:J$11,"=1")=2,TRUE)</formula>
    </cfRule>
    <cfRule type="expression" dxfId="271" priority="189">
      <formula>AND(IF(COUNTIF(Q$7:Q$11,"=1")=2,TRUE),IF(COUNTIF(Q$7:Q$11,"=2")=2,TRUE))</formula>
    </cfRule>
    <cfRule type="expression" dxfId="270" priority="190">
      <formula>AND(Q7=4,IF(COUNTIF(Q$7:Q$11,"=4")=1,TRUE))</formula>
    </cfRule>
    <cfRule type="expression" dxfId="269" priority="191">
      <formula>AND(Q7=3,IF(COUNTIF(Q$7:Q$11,"=3")=1,TRUE))</formula>
    </cfRule>
    <cfRule type="expression" dxfId="268" priority="192">
      <formula>AND(Q7=2,IF(COUNTIF(Q$7:Q$11,"=2")=1,TRUE))</formula>
    </cfRule>
    <cfRule type="expression" dxfId="267" priority="193">
      <formula>AND(Q7=1,IF(COUNTIF(Q$7:Q$11,"=1")=1,TRUE))</formula>
    </cfRule>
    <cfRule type="expression" dxfId="266" priority="194">
      <formula>OR(Q7=0,Q7=5)</formula>
    </cfRule>
  </conditionalFormatting>
  <conditionalFormatting sqref="O7:O11">
    <cfRule type="expression" dxfId="265" priority="186">
      <formula>OR(AND(J7=1,K7=1,L7=0,M7=1),AND(J7=2,K7=2,L7=0,M7=2))</formula>
    </cfRule>
  </conditionalFormatting>
  <conditionalFormatting sqref="M7:M11">
    <cfRule type="expression" dxfId="264" priority="179">
      <formula>AND(L7&gt;0,IF(COUNTIF(L$7:L$11,L7)&gt;1,TRUE,FALSE))</formula>
    </cfRule>
    <cfRule type="expression" dxfId="263" priority="180">
      <formula>AND(IF(COUNTIF(R$7:R$11,"=1")=2,TRUE),IF(COUNTIF(R$7:R$11,"=2")=2,TRUE))</formula>
    </cfRule>
    <cfRule type="expression" dxfId="262" priority="181">
      <formula>AND(R7=4,IF(COUNTIF(R$7:R$11,"=4")=1,TRUE))</formula>
    </cfRule>
    <cfRule type="expression" dxfId="261" priority="182">
      <formula>AND(R7=3,IF(COUNTIF(R$7:R$11,"=3")=1,TRUE))</formula>
    </cfRule>
    <cfRule type="expression" dxfId="260" priority="183">
      <formula>AND(R7=2,IF(COUNTIF(R$7:R$11,"=2")=1,TRUE))</formula>
    </cfRule>
    <cfRule type="expression" dxfId="259" priority="184">
      <formula>AND(R7=1,IF(COUNTIF(R$7:R$11,"=1")=1,TRUE))</formula>
    </cfRule>
    <cfRule type="expression" dxfId="258" priority="185">
      <formula>OR(R7=0,R7=5)</formula>
    </cfRule>
  </conditionalFormatting>
  <conditionalFormatting sqref="J7:J11">
    <cfRule type="expression" dxfId="257" priority="174">
      <formula>AND(Q7=4,IF(COUNTIF(Q$7:Q$11,"=4")&gt;=2,TRUE))</formula>
    </cfRule>
    <cfRule type="expression" dxfId="256" priority="175">
      <formula>AND(Q7=3,IF(COUNTIF(Q$7:Q$11,"=3")&gt;=2,TRUE))</formula>
    </cfRule>
    <cfRule type="expression" dxfId="255" priority="176">
      <formula>AND(Q7=2,IF(COUNTIF(Q$7:Q$11,"=2")&gt;=2,TRUE))</formula>
    </cfRule>
    <cfRule type="expression" dxfId="254" priority="177">
      <formula>AND(Q7=1,IF(COUNTIF(Q$7:Q$11,"=1")&gt;=2,TRUE))</formula>
    </cfRule>
  </conditionalFormatting>
  <conditionalFormatting sqref="H7:H11">
    <cfRule type="expression" dxfId="253" priority="141">
      <formula>AND(Q7=4,IF(COUNTIF(Q$7:Q$11,"=4")&gt;=2,TRUE))</formula>
    </cfRule>
    <cfRule type="expression" dxfId="252" priority="245">
      <formula>AND(Q7=3,IF(COUNTIF(Q$7:Q$11,"=3")&gt;=2,TRUE))</formula>
    </cfRule>
    <cfRule type="expression" dxfId="251" priority="246">
      <formula>AND(Q7=2,IF(COUNTIF(Q$7:Q$11,"=2")&gt;=2,TRUE))</formula>
    </cfRule>
    <cfRule type="expression" dxfId="250" priority="247">
      <formula>AND(Q7=1,IF(COUNTIF(Q$7:Q$11,"=1")&gt;=2,TRUE))</formula>
    </cfRule>
  </conditionalFormatting>
  <conditionalFormatting sqref="K7:K11">
    <cfRule type="expression" dxfId="249" priority="248">
      <formula>AND(J7&gt;0,IF(COUNTIF(J$7:J$11,"=1")=2,TRUE),IF(COUNTIF(J$7:J$11,"=2")=2,TRUE))</formula>
    </cfRule>
    <cfRule type="expression" dxfId="248" priority="249">
      <formula>IF(COUNTIF(L$7:L$11,"=2")=2,TRUE)</formula>
    </cfRule>
    <cfRule type="expression" dxfId="247" priority="250">
      <formula>IF(COUNTIF(L$7:L$11,"=1")=2,TRUE)</formula>
    </cfRule>
    <cfRule type="expression" dxfId="246" priority="251">
      <formula>AND(IF(COUNTIF(R$7:R$11,"=1")=2,TRUE),IF(COUNTIF(S$7:S$11,"=2")=2,TRUE))</formula>
    </cfRule>
    <cfRule type="expression" dxfId="245" priority="252">
      <formula>AND(R7=4,IF(COUNTIF(R$7:R$11,"=4")=1,TRUE))</formula>
    </cfRule>
    <cfRule type="expression" dxfId="244" priority="253">
      <formula>AND(R7=3,IF(COUNTIF(R$7:R$11,"=3")=1,TRUE))</formula>
    </cfRule>
    <cfRule type="expression" dxfId="243" priority="254">
      <formula>AND(R7=2,IF(COUNTIF(R$7:R$11,"=2")=1,TRUE))</formula>
    </cfRule>
    <cfRule type="expression" dxfId="242" priority="255">
      <formula>AND(R7=1,IF(COUNTIF(R$7:R$11,"=1")=1,TRUE))</formula>
    </cfRule>
    <cfRule type="expression" dxfId="241" priority="256">
      <formula>OR(R7=0,R7=5)</formula>
    </cfRule>
  </conditionalFormatting>
  <conditionalFormatting sqref="I14:I18">
    <cfRule type="expression" dxfId="240" priority="163">
      <formula>FIND(2,I14,1)</formula>
    </cfRule>
    <cfRule type="expression" dxfId="239" priority="164">
      <formula>FIND(1,I14,1)</formula>
    </cfRule>
  </conditionalFormatting>
  <conditionalFormatting sqref="L14:L18">
    <cfRule type="expression" dxfId="238" priority="146">
      <formula>K14=0</formula>
    </cfRule>
    <cfRule type="expression" dxfId="237" priority="155">
      <formula>IF(COUNTIF(J$14:J$18,"=2")=2,TRUE)</formula>
    </cfRule>
    <cfRule type="expression" dxfId="236" priority="156">
      <formula>IF(COUNTIF(J$14:J$18,"=1")=2,TRUE)</formula>
    </cfRule>
    <cfRule type="expression" dxfId="235" priority="157">
      <formula>AND(IF(COUNTIF(Q$14:Q$18,"=1")=2,TRUE),IF(COUNTIF(Q$14:Q$18,"=2")=2,TRUE))</formula>
    </cfRule>
    <cfRule type="expression" dxfId="234" priority="158">
      <formula>AND(Q14=4,IF(COUNTIF(Q$14:Q$18,"=4")=1,TRUE))</formula>
    </cfRule>
    <cfRule type="expression" dxfId="233" priority="159">
      <formula>AND(Q14=3,IF(COUNTIF(Q$14:Q$18,"=3")=1,TRUE))</formula>
    </cfRule>
    <cfRule type="expression" dxfId="232" priority="160">
      <formula>AND(Q14=2,IF(COUNTIF(Q$14:Q$18,"=2")=1,TRUE))</formula>
    </cfRule>
    <cfRule type="expression" dxfId="231" priority="161">
      <formula>AND(Q14=1,IF(COUNTIF(Q$14:Q$18,"=1")=1,TRUE))</formula>
    </cfRule>
    <cfRule type="expression" dxfId="230" priority="162">
      <formula>OR(Q14=0,Q14=5)</formula>
    </cfRule>
  </conditionalFormatting>
  <conditionalFormatting sqref="O14:O18">
    <cfRule type="expression" dxfId="229" priority="154">
      <formula>OR(AND(J14=1,K14=1,L14=0,M14=1),AND(J14=2,K14=2,L14=0,M14=2))</formula>
    </cfRule>
  </conditionalFormatting>
  <conditionalFormatting sqref="M14:M18">
    <cfRule type="expression" dxfId="228" priority="147">
      <formula>AND(L14&gt;0,IF(COUNTIF(L$14:L$18,L14)&gt;1,TRUE,FALSE))</formula>
    </cfRule>
    <cfRule type="expression" dxfId="227" priority="148">
      <formula>AND(IF(COUNTIF(R$14:R$18,"=1")=2,TRUE),IF(COUNTIF(R$14:R$18,"=2")=2,TRUE))</formula>
    </cfRule>
    <cfRule type="expression" dxfId="226" priority="149">
      <formula>AND(R14=4,IF(COUNTIF(R$14:R$18,"=4")=1,TRUE))</formula>
    </cfRule>
    <cfRule type="expression" dxfId="225" priority="150">
      <formula>AND(R14=3,IF(COUNTIF(R$14:R$18,"=3")=1,TRUE))</formula>
    </cfRule>
    <cfRule type="expression" dxfId="224" priority="151">
      <formula>AND(R14=2,IF(COUNTIF(R$14:R$18,"=2")=1,TRUE))</formula>
    </cfRule>
    <cfRule type="expression" dxfId="223" priority="152">
      <formula>AND(R14=1,IF(COUNTIF(R$14:R$18,"=1")=1,TRUE))</formula>
    </cfRule>
    <cfRule type="expression" dxfId="222" priority="153">
      <formula>OR(R14=0,R14=5)</formula>
    </cfRule>
  </conditionalFormatting>
  <conditionalFormatting sqref="J14:J18">
    <cfRule type="expression" dxfId="221" priority="142">
      <formula>AND(Q14=4,IF(COUNTIF(Q$14:Q$18,"=4")&gt;=2,TRUE))</formula>
    </cfRule>
    <cfRule type="expression" dxfId="220" priority="143">
      <formula>AND(Q14=3,IF(COUNTIF(Q$14:Q$18,"=3")&gt;=2,TRUE))</formula>
    </cfRule>
    <cfRule type="expression" dxfId="219" priority="144">
      <formula>AND(Q14=2,IF(COUNTIF(Q$14:Q$18,"=2")&gt;=2,TRUE))</formula>
    </cfRule>
    <cfRule type="expression" dxfId="218" priority="145">
      <formula>AND(Q14=1,IF(COUNTIF(Q$14:Q$18,"=1")&gt;=2,TRUE))</formula>
    </cfRule>
  </conditionalFormatting>
  <conditionalFormatting sqref="K14:K18">
    <cfRule type="expression" dxfId="217" priority="165">
      <formula>AND(J14&gt;0,IF(COUNTIF(J$14:J$18,"=1")=2,TRUE),IF(COUNTIF(J$14:J$18,"=2")=2,TRUE))</formula>
    </cfRule>
    <cfRule type="expression" dxfId="216" priority="166">
      <formula>IF(COUNTIF(L$14:L$18,"=2")=2,TRUE)</formula>
    </cfRule>
    <cfRule type="expression" dxfId="215" priority="167">
      <formula>IF(COUNTIF(L$14:L$18,"=1")=2,TRUE)</formula>
    </cfRule>
    <cfRule type="expression" dxfId="214" priority="168">
      <formula>AND(IF(COUNTIF(R$14:R$18,"=1")=2,TRUE),IF(COUNTIF(S$14:S$18,"=2")=2,TRUE))</formula>
    </cfRule>
    <cfRule type="expression" dxfId="213" priority="169">
      <formula>AND(R14=4,IF(COUNTIF(R$14:R$18,"=4")=1,TRUE))</formula>
    </cfRule>
    <cfRule type="expression" dxfId="212" priority="170">
      <formula>AND(R14=3,IF(COUNTIF(R$14:R$18,"=3")=1,TRUE))</formula>
    </cfRule>
    <cfRule type="expression" dxfId="211" priority="171">
      <formula>AND(R14=2,IF(COUNTIF(R$14:R$18,"=2")=1,TRUE))</formula>
    </cfRule>
    <cfRule type="expression" dxfId="210" priority="172">
      <formula>AND(R14=1,IF(COUNTIF(R$14:R$18,"=1")=1,TRUE))</formula>
    </cfRule>
    <cfRule type="expression" dxfId="209" priority="173">
      <formula>OR(R14=0,R14=5)</formula>
    </cfRule>
  </conditionalFormatting>
  <conditionalFormatting sqref="L21:L25">
    <cfRule type="expression" dxfId="208" priority="114">
      <formula>K21=0</formula>
    </cfRule>
    <cfRule type="expression" dxfId="207" priority="123">
      <formula>IF(COUNTIF(J$21:J$25,"=2")=2,TRUE)</formula>
    </cfRule>
    <cfRule type="expression" dxfId="206" priority="124">
      <formula>IF(COUNTIF(J$21:J$25,"=1")=2,TRUE)</formula>
    </cfRule>
    <cfRule type="expression" dxfId="205" priority="125">
      <formula>AND(IF(COUNTIF(Q$21:Q$25,"=1")=2,TRUE),IF(COUNTIF(Q$21:Q$25,"=2")=2,TRUE))</formula>
    </cfRule>
    <cfRule type="expression" dxfId="204" priority="126">
      <formula>AND(Q21=4,IF(COUNTIF(Q$21:Q$25,"=4")=1,TRUE))</formula>
    </cfRule>
    <cfRule type="expression" dxfId="203" priority="127">
      <formula>AND(Q21=3,IF(COUNTIF(Q$21:Q$25,"=3")=1,TRUE))</formula>
    </cfRule>
    <cfRule type="expression" dxfId="202" priority="128">
      <formula>AND(Q21=2,IF(COUNTIF(Q$21:Q$25,"=2")=1,TRUE))</formula>
    </cfRule>
    <cfRule type="expression" dxfId="201" priority="129">
      <formula>AND(Q21=1,IF(COUNTIF(Q$21:Q$25,"=1")=1,TRUE))</formula>
    </cfRule>
    <cfRule type="expression" dxfId="200" priority="130">
      <formula>OR(Q21=0,Q21=5)</formula>
    </cfRule>
  </conditionalFormatting>
  <conditionalFormatting sqref="O21:O25">
    <cfRule type="expression" dxfId="199" priority="122">
      <formula>OR(AND(J21=1,K21=1,L21=0,M21=1),AND(J21=2,K21=2,L21=0,M21=2))</formula>
    </cfRule>
  </conditionalFormatting>
  <conditionalFormatting sqref="M21:M25">
    <cfRule type="expression" dxfId="198" priority="115">
      <formula>AND(L21&gt;0,IF(COUNTIF(L$21:L$25,L21)&gt;1,TRUE,FALSE))</formula>
    </cfRule>
    <cfRule type="expression" dxfId="197" priority="116">
      <formula>AND(IF(COUNTIF(R$21:R$25,"=1")=2,TRUE),IF(COUNTIF(R$21:R$25,"=2")=2,TRUE))</formula>
    </cfRule>
    <cfRule type="expression" dxfId="196" priority="117">
      <formula>AND(R21=4,IF(COUNTIF(R$21:R$25,"=4")=1,TRUE))</formula>
    </cfRule>
    <cfRule type="expression" dxfId="195" priority="118">
      <formula>AND(R21=3,IF(COUNTIF(R$21:R$25,"=3")=1,TRUE))</formula>
    </cfRule>
    <cfRule type="expression" dxfId="194" priority="119">
      <formula>AND(R21=2,IF(COUNTIF(R$21:R$25,"=2")=1,TRUE))</formula>
    </cfRule>
    <cfRule type="expression" dxfId="193" priority="120">
      <formula>AND(R21=1,IF(COUNTIF(R$21:R$25,"=1")=1,TRUE))</formula>
    </cfRule>
    <cfRule type="expression" dxfId="192" priority="121">
      <formula>OR(R21=0,R21=5)</formula>
    </cfRule>
  </conditionalFormatting>
  <conditionalFormatting sqref="J21:J25">
    <cfRule type="expression" dxfId="191" priority="110">
      <formula>AND(Q21=4,IF(COUNTIF(Q$21:Q$25,"=4")&gt;=2,TRUE))</formula>
    </cfRule>
    <cfRule type="expression" dxfId="190" priority="111">
      <formula>AND(Q21=3,IF(COUNTIF(Q$21:Q$25,"=3")&gt;=2,TRUE))</formula>
    </cfRule>
    <cfRule type="expression" dxfId="189" priority="112">
      <formula>AND(Q21=2,IF(COUNTIF(Q$21:Q$25,"=2")&gt;=2,TRUE))</formula>
    </cfRule>
    <cfRule type="expression" dxfId="188" priority="113">
      <formula>AND(Q21=1,IF(COUNTIF(Q$21:Q$25,"=1")&gt;=2,TRUE))</formula>
    </cfRule>
  </conditionalFormatting>
  <conditionalFormatting sqref="K21:K25">
    <cfRule type="expression" dxfId="187" priority="131">
      <formula>AND(J21&gt;0,IF(COUNTIF(J$21:J$25,"=1")=2,TRUE),IF(COUNTIF(J$21:J$25,"=2")=2,TRUE))</formula>
    </cfRule>
    <cfRule type="expression" dxfId="186" priority="132">
      <formula>IF(COUNTIF(L$21:L$25,"=2")=2,TRUE)</formula>
    </cfRule>
    <cfRule type="expression" dxfId="185" priority="133">
      <formula>IF(COUNTIF(L$21:L$25,"=1")=2,TRUE)</formula>
    </cfRule>
    <cfRule type="expression" dxfId="184" priority="134">
      <formula>AND(IF(COUNTIF(R$21:R$25,"=1")=2,TRUE),IF(COUNTIF(S$21:S$25,"=2")=2,TRUE))</formula>
    </cfRule>
    <cfRule type="expression" dxfId="183" priority="135">
      <formula>AND(R21=4,IF(COUNTIF(R$21:R$25,"=4")=1,TRUE))</formula>
    </cfRule>
    <cfRule type="expression" dxfId="182" priority="136">
      <formula>AND(R21=3,IF(COUNTIF(R$21:R$25,"=3")=1,TRUE))</formula>
    </cfRule>
    <cfRule type="expression" dxfId="181" priority="137">
      <formula>AND(R21=2,IF(COUNTIF(R$21:R$25,"=2")=1,TRUE))</formula>
    </cfRule>
    <cfRule type="expression" dxfId="180" priority="138">
      <formula>AND(R21=1,IF(COUNTIF(R$21:R$25,"=1")=1,TRUE))</formula>
    </cfRule>
    <cfRule type="expression" dxfId="179" priority="139">
      <formula>OR(R21=0,R21=5)</formula>
    </cfRule>
  </conditionalFormatting>
  <conditionalFormatting sqref="H21:H25">
    <cfRule type="expression" dxfId="178" priority="106">
      <formula>AND(Q21=4,IF(COUNTIF(Q$21:Q$25,"=4")&gt;=2,TRUE))</formula>
    </cfRule>
    <cfRule type="expression" dxfId="177" priority="107">
      <formula>AND(Q21=3,IF(COUNTIF(Q$21:Q$25,"=3")&gt;=2,TRUE))</formula>
    </cfRule>
    <cfRule type="expression" dxfId="176" priority="108">
      <formula>AND(Q21=2,IF(COUNTIF(Q$21:Q$25,"=2")&gt;=2,TRUE))</formula>
    </cfRule>
    <cfRule type="expression" dxfId="175" priority="109">
      <formula>AND(Q21=1,IF(COUNTIF(Q$21:Q$25,"=1")&gt;=2,TRUE))</formula>
    </cfRule>
  </conditionalFormatting>
  <conditionalFormatting sqref="L28:L32">
    <cfRule type="expression" dxfId="174" priority="80">
      <formula>K28=0</formula>
    </cfRule>
    <cfRule type="expression" dxfId="173" priority="89">
      <formula>IF(COUNTIF(J$28:J$32,"=2")=2,TRUE)</formula>
    </cfRule>
    <cfRule type="expression" dxfId="172" priority="90">
      <formula>IF(COUNTIF(J$28:J$32,"=1")=2,TRUE)</formula>
    </cfRule>
    <cfRule type="expression" dxfId="171" priority="91">
      <formula>AND(IF(COUNTIF(Q$28:Q$32,"=1")=2,TRUE),IF(COUNTIF(Q$28:Q$32,"=2")=2,TRUE))</formula>
    </cfRule>
    <cfRule type="expression" dxfId="170" priority="92">
      <formula>AND(Q28=4,IF(COUNTIF(Q$28:Q$32,"=4")=1,TRUE))</formula>
    </cfRule>
    <cfRule type="expression" dxfId="169" priority="93">
      <formula>AND(Q28=3,IF(COUNTIF(Q$28:Q$32,"=3")=1,TRUE))</formula>
    </cfRule>
    <cfRule type="expression" dxfId="168" priority="94">
      <formula>AND(Q28=2,IF(COUNTIF(Q$28:Q$32,"=2")=1,TRUE))</formula>
    </cfRule>
    <cfRule type="expression" dxfId="167" priority="95">
      <formula>AND(Q28=1,IF(COUNTIF(Q$28:Q$32,"=1")=1,TRUE))</formula>
    </cfRule>
    <cfRule type="expression" dxfId="166" priority="96">
      <formula>OR(Q28=0,Q28=5)</formula>
    </cfRule>
  </conditionalFormatting>
  <conditionalFormatting sqref="O28:O32">
    <cfRule type="expression" dxfId="165" priority="88">
      <formula>OR(AND(J28=1,K28=1,L28=0,M28=1),AND(J28=2,K28=2,L28=0,M28=2))</formula>
    </cfRule>
  </conditionalFormatting>
  <conditionalFormatting sqref="M28:M32">
    <cfRule type="expression" dxfId="164" priority="81">
      <formula>AND(L28&gt;0,IF(COUNTIF(L$28:L$32,L28)&gt;1,TRUE,FALSE))</formula>
    </cfRule>
    <cfRule type="expression" dxfId="163" priority="82">
      <formula>AND(IF(COUNTIF(R$28:R$32,"=1")=2,TRUE),IF(COUNTIF(R$28:R$32,"=2")=2,TRUE))</formula>
    </cfRule>
    <cfRule type="expression" dxfId="162" priority="83">
      <formula>AND(R28=4,IF(COUNTIF(R$28:R$32,"=4")=1,TRUE))</formula>
    </cfRule>
    <cfRule type="expression" dxfId="161" priority="84">
      <formula>AND(R28=3,IF(COUNTIF(R$28:R$32,"=3")=1,TRUE))</formula>
    </cfRule>
    <cfRule type="expression" dxfId="160" priority="85">
      <formula>AND(R28=2,IF(COUNTIF(R$28:R$32,"=2")=1,TRUE))</formula>
    </cfRule>
    <cfRule type="expression" dxfId="159" priority="86">
      <formula>AND(R28=1,IF(COUNTIF(R$28:R$32,"=1")=1,TRUE))</formula>
    </cfRule>
    <cfRule type="expression" dxfId="158" priority="87">
      <formula>OR(R28=0,R28=5)</formula>
    </cfRule>
  </conditionalFormatting>
  <conditionalFormatting sqref="J28:J32">
    <cfRule type="expression" dxfId="157" priority="76">
      <formula>AND(Q28=4,IF(COUNTIF(Q$28:Q$32,"=4")&gt;=2,TRUE))</formula>
    </cfRule>
    <cfRule type="expression" dxfId="156" priority="77">
      <formula>AND(Q28=3,IF(COUNTIF(Q$28:Q$32,"=3")&gt;=2,TRUE))</formula>
    </cfRule>
    <cfRule type="expression" dxfId="155" priority="78">
      <formula>AND(Q28=2,IF(COUNTIF(Q$28:Q$32,"=2")&gt;=2,TRUE))</formula>
    </cfRule>
    <cfRule type="expression" dxfId="154" priority="79">
      <formula>AND(Q28=1,IF(COUNTIF(Q$28:Q$32,"=1")&gt;=2,TRUE))</formula>
    </cfRule>
  </conditionalFormatting>
  <conditionalFormatting sqref="K28:K32">
    <cfRule type="expression" dxfId="153" priority="97">
      <formula>AND(J28&gt;0,IF(COUNTIF(J$28:J$32,"=1")=2,TRUE),IF(COUNTIF(J$28:J$32,"=2")=2,TRUE))</formula>
    </cfRule>
    <cfRule type="expression" dxfId="152" priority="98">
      <formula>IF(COUNTIF(L$28:L$32,"=2")=2,TRUE)</formula>
    </cfRule>
    <cfRule type="expression" dxfId="151" priority="99">
      <formula>IF(COUNTIF(L$28:L$32,"=1")=2,TRUE)</formula>
    </cfRule>
    <cfRule type="expression" dxfId="150" priority="100">
      <formula>AND(IF(COUNTIF(R$28:R$32,"=1")=2,TRUE),IF(COUNTIF(S$28:S$32,"=2")=2,TRUE))</formula>
    </cfRule>
    <cfRule type="expression" dxfId="149" priority="101">
      <formula>AND(R28=4,IF(COUNTIF(R$28:R$32,"=4")=1,TRUE))</formula>
    </cfRule>
    <cfRule type="expression" dxfId="148" priority="102">
      <formula>AND(R28=3,IF(COUNTIF(R$28:R$32,"=3")=1,TRUE))</formula>
    </cfRule>
    <cfRule type="expression" dxfId="147" priority="103">
      <formula>AND(R28=2,IF(COUNTIF(R$28:R$32,"=2")=1,TRUE))</formula>
    </cfRule>
    <cfRule type="expression" dxfId="146" priority="104">
      <formula>AND(R28=1,IF(COUNTIF(R$28:R$32,"=1")=1,TRUE))</formula>
    </cfRule>
    <cfRule type="expression" dxfId="145" priority="105">
      <formula>OR(R28=0,R28=5)</formula>
    </cfRule>
  </conditionalFormatting>
  <conditionalFormatting sqref="H28:H32">
    <cfRule type="expression" dxfId="144" priority="72">
      <formula>AND(Q28=4,IF(COUNTIF(Q$28:Q$32,"=4")&gt;=2,TRUE))</formula>
    </cfRule>
    <cfRule type="expression" dxfId="143" priority="73">
      <formula>AND(Q28=3,IF(COUNTIF(Q$28:Q$32,"=3")&gt;=2,TRUE))</formula>
    </cfRule>
    <cfRule type="expression" dxfId="142" priority="74">
      <formula>AND(Q28=2,IF(COUNTIF(Q$28:Q$32,"=2")&gt;=2,TRUE))</formula>
    </cfRule>
    <cfRule type="expression" dxfId="141" priority="75">
      <formula>AND(Q28=1,IF(COUNTIF(Q$28:Q$32,"=1")&gt;=2,TRUE))</formula>
    </cfRule>
  </conditionalFormatting>
  <conditionalFormatting sqref="C102 C104">
    <cfRule type="aboveAverage" dxfId="140" priority="71"/>
  </conditionalFormatting>
  <conditionalFormatting sqref="C102 C104">
    <cfRule type="containsBlanks" dxfId="139" priority="70">
      <formula>LEN(TRIM(C102))=0</formula>
    </cfRule>
  </conditionalFormatting>
  <conditionalFormatting sqref="E103 E107">
    <cfRule type="containsBlanks" dxfId="138" priority="68">
      <formula>LEN(TRIM(E103))=0</formula>
    </cfRule>
    <cfRule type="aboveAverage" dxfId="137" priority="69"/>
  </conditionalFormatting>
  <conditionalFormatting sqref="E111 E115">
    <cfRule type="containsBlanks" dxfId="136" priority="66">
      <formula>LEN(TRIM(E111))=0</formula>
    </cfRule>
    <cfRule type="aboveAverage" dxfId="135" priority="67"/>
  </conditionalFormatting>
  <conditionalFormatting sqref="C106 C108">
    <cfRule type="aboveAverage" dxfId="134" priority="65"/>
  </conditionalFormatting>
  <conditionalFormatting sqref="C106 C108">
    <cfRule type="containsBlanks" dxfId="133" priority="64">
      <formula>LEN(TRIM(C106))=0</formula>
    </cfRule>
  </conditionalFormatting>
  <conditionalFormatting sqref="C110 C112">
    <cfRule type="aboveAverage" dxfId="132" priority="63"/>
  </conditionalFormatting>
  <conditionalFormatting sqref="C110 C112">
    <cfRule type="containsBlanks" dxfId="131" priority="62">
      <formula>LEN(TRIM(C110))=0</formula>
    </cfRule>
  </conditionalFormatting>
  <conditionalFormatting sqref="C114 C116">
    <cfRule type="aboveAverage" dxfId="130" priority="61"/>
  </conditionalFormatting>
  <conditionalFormatting sqref="C114 C116">
    <cfRule type="containsBlanks" dxfId="129" priority="60">
      <formula>LEN(TRIM(C114))=0</formula>
    </cfRule>
  </conditionalFormatting>
  <conditionalFormatting sqref="G117 G119">
    <cfRule type="aboveAverage" dxfId="128" priority="59"/>
  </conditionalFormatting>
  <conditionalFormatting sqref="G117 G119">
    <cfRule type="containsBlanks" dxfId="127" priority="58">
      <formula>LEN(TRIM(G117))=0</formula>
    </cfRule>
  </conditionalFormatting>
  <conditionalFormatting sqref="G105 G113">
    <cfRule type="containsBlanks" dxfId="126" priority="56">
      <formula>LEN(TRIM(G105))=0</formula>
    </cfRule>
    <cfRule type="aboveAverage" dxfId="125" priority="57"/>
  </conditionalFormatting>
  <conditionalFormatting sqref="G124 G128">
    <cfRule type="containsBlanks" dxfId="124" priority="54">
      <formula>LEN(TRIM(G124))=0</formula>
    </cfRule>
    <cfRule type="aboveAverage" dxfId="123" priority="55"/>
  </conditionalFormatting>
  <conditionalFormatting sqref="E123 E125">
    <cfRule type="aboveAverage" dxfId="122" priority="53"/>
  </conditionalFormatting>
  <conditionalFormatting sqref="E123 E125">
    <cfRule type="containsBlanks" dxfId="121" priority="52">
      <formula>LEN(TRIM(E123))=0</formula>
    </cfRule>
  </conditionalFormatting>
  <conditionalFormatting sqref="E127 E129">
    <cfRule type="aboveAverage" dxfId="120" priority="51"/>
  </conditionalFormatting>
  <conditionalFormatting sqref="E127 E129">
    <cfRule type="containsBlanks" dxfId="119" priority="50">
      <formula>LEN(TRIM(E127))=0</formula>
    </cfRule>
  </conditionalFormatting>
  <conditionalFormatting sqref="G131 G133">
    <cfRule type="aboveAverage" dxfId="118" priority="49"/>
  </conditionalFormatting>
  <conditionalFormatting sqref="G131 G133">
    <cfRule type="containsBlanks" dxfId="117" priority="48">
      <formula>LEN(TRIM(G131))=0</formula>
    </cfRule>
  </conditionalFormatting>
  <conditionalFormatting sqref="C140 C142">
    <cfRule type="aboveAverage" dxfId="116" priority="47"/>
  </conditionalFormatting>
  <conditionalFormatting sqref="C140 C142">
    <cfRule type="containsBlanks" dxfId="115" priority="46">
      <formula>LEN(TRIM(C140))=0</formula>
    </cfRule>
  </conditionalFormatting>
  <conditionalFormatting sqref="E141 E145">
    <cfRule type="containsBlanks" dxfId="114" priority="44">
      <formula>LEN(TRIM(E141))=0</formula>
    </cfRule>
    <cfRule type="aboveAverage" dxfId="113" priority="45"/>
  </conditionalFormatting>
  <conditionalFormatting sqref="E149 E153">
    <cfRule type="containsBlanks" dxfId="112" priority="42">
      <formula>LEN(TRIM(E149))=0</formula>
    </cfRule>
    <cfRule type="aboveAverage" dxfId="111" priority="43"/>
  </conditionalFormatting>
  <conditionalFormatting sqref="C144 C146">
    <cfRule type="aboveAverage" dxfId="110" priority="41"/>
  </conditionalFormatting>
  <conditionalFormatting sqref="C144 C146">
    <cfRule type="containsBlanks" dxfId="109" priority="40">
      <formula>LEN(TRIM(C144))=0</formula>
    </cfRule>
  </conditionalFormatting>
  <conditionalFormatting sqref="C148 C150">
    <cfRule type="aboveAverage" dxfId="108" priority="39"/>
  </conditionalFormatting>
  <conditionalFormatting sqref="C148 C150">
    <cfRule type="containsBlanks" dxfId="107" priority="38">
      <formula>LEN(TRIM(C148))=0</formula>
    </cfRule>
  </conditionalFormatting>
  <conditionalFormatting sqref="C152 C154">
    <cfRule type="aboveAverage" dxfId="106" priority="37"/>
  </conditionalFormatting>
  <conditionalFormatting sqref="C152 C154">
    <cfRule type="containsBlanks" dxfId="105" priority="36">
      <formula>LEN(TRIM(C152))=0</formula>
    </cfRule>
  </conditionalFormatting>
  <conditionalFormatting sqref="G155 G157">
    <cfRule type="aboveAverage" dxfId="104" priority="35"/>
  </conditionalFormatting>
  <conditionalFormatting sqref="G155 G157">
    <cfRule type="containsBlanks" dxfId="103" priority="34">
      <formula>LEN(TRIM(G155))=0</formula>
    </cfRule>
  </conditionalFormatting>
  <conditionalFormatting sqref="G143 G151">
    <cfRule type="containsBlanks" dxfId="102" priority="32">
      <formula>LEN(TRIM(G143))=0</formula>
    </cfRule>
    <cfRule type="aboveAverage" dxfId="101" priority="33"/>
  </conditionalFormatting>
  <conditionalFormatting sqref="G162 G166">
    <cfRule type="containsBlanks" dxfId="100" priority="30">
      <formula>LEN(TRIM(G162))=0</formula>
    </cfRule>
    <cfRule type="aboveAverage" dxfId="99" priority="31"/>
  </conditionalFormatting>
  <conditionalFormatting sqref="E161 E163">
    <cfRule type="aboveAverage" dxfId="98" priority="29"/>
  </conditionalFormatting>
  <conditionalFormatting sqref="E161 E163">
    <cfRule type="containsBlanks" dxfId="97" priority="28">
      <formula>LEN(TRIM(E161))=0</formula>
    </cfRule>
  </conditionalFormatting>
  <conditionalFormatting sqref="E165 E167">
    <cfRule type="aboveAverage" dxfId="96" priority="27"/>
  </conditionalFormatting>
  <conditionalFormatting sqref="E165 E167">
    <cfRule type="containsBlanks" dxfId="95" priority="26">
      <formula>LEN(TRIM(E165))=0</formula>
    </cfRule>
  </conditionalFormatting>
  <conditionalFormatting sqref="G169 G171">
    <cfRule type="aboveAverage" dxfId="94" priority="25"/>
  </conditionalFormatting>
  <conditionalFormatting sqref="G169 G171">
    <cfRule type="containsBlanks" dxfId="93" priority="24">
      <formula>LEN(TRIM(G169))=0</formula>
    </cfRule>
  </conditionalFormatting>
  <conditionalFormatting sqref="A300:A312">
    <cfRule type="duplicateValues" dxfId="92" priority="257"/>
  </conditionalFormatting>
  <conditionalFormatting sqref="B300:B312">
    <cfRule type="expression" dxfId="91" priority="258">
      <formula>A300=3</formula>
    </cfRule>
    <cfRule type="expression" dxfId="90" priority="259">
      <formula>A300=2</formula>
    </cfRule>
    <cfRule type="expression" dxfId="89" priority="260">
      <formula>A300=1</formula>
    </cfRule>
    <cfRule type="containsBlanks" dxfId="88" priority="261">
      <formula>LEN(TRIM(B300))=0</formula>
    </cfRule>
    <cfRule type="duplicateValues" dxfId="87" priority="262"/>
  </conditionalFormatting>
  <conditionalFormatting sqref="AF33:AF60">
    <cfRule type="expression" dxfId="86" priority="18">
      <formula>AND(AE33="",COUNTIF(AF33,"*,*")=0)</formula>
    </cfRule>
  </conditionalFormatting>
  <conditionalFormatting sqref="AE7:AE30">
    <cfRule type="expression" dxfId="85" priority="1">
      <formula>AND(AF7="",COUNTIF(AE7,"*,*")=0)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M8" sqref="M8"/>
    </sheetView>
  </sheetViews>
  <sheetFormatPr defaultRowHeight="12.75" x14ac:dyDescent="0.2"/>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23"/>
  <sheetViews>
    <sheetView showGridLine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customWidth="1"/>
    <col min="32" max="32" width="12.7109375" customWidth="1"/>
    <col min="33" max="33" width="9.140625" customWidth="1"/>
    <col min="34" max="34" width="13.85546875" customWidth="1"/>
    <col min="35" max="35" width="9.140625" customWidth="1"/>
    <col min="36" max="36" width="17.28515625" customWidth="1"/>
    <col min="37" max="37" width="9.140625" customWidth="1"/>
    <col min="38" max="38" width="13.85546875" customWidth="1"/>
  </cols>
  <sheetData>
    <row r="1" spans="1:39" x14ac:dyDescent="0.2">
      <c r="A1" s="462" t="s">
        <v>264</v>
      </c>
      <c r="B1" s="403"/>
      <c r="C1" s="404"/>
      <c r="D1" s="403"/>
      <c r="E1" s="403"/>
      <c r="F1" s="406"/>
      <c r="G1" s="406"/>
      <c r="H1" s="406"/>
      <c r="I1" s="406"/>
      <c r="J1" s="406"/>
      <c r="K1" s="406"/>
      <c r="L1" s="406"/>
      <c r="M1" s="406"/>
      <c r="N1" s="406"/>
      <c r="O1" s="403"/>
      <c r="P1" s="403"/>
      <c r="Q1" s="405"/>
      <c r="R1" s="405"/>
      <c r="S1" s="405"/>
      <c r="T1" s="406"/>
      <c r="U1" s="406"/>
      <c r="V1" s="406"/>
      <c r="W1" s="403"/>
      <c r="X1" s="408"/>
      <c r="Y1" s="403"/>
      <c r="Z1" s="403"/>
      <c r="AA1" s="403"/>
      <c r="AB1" s="403"/>
      <c r="AD1" s="176" t="s">
        <v>68</v>
      </c>
      <c r="AE1" s="408"/>
      <c r="AF1" s="408"/>
      <c r="AG1" s="408"/>
      <c r="AH1" s="408"/>
      <c r="AI1" s="408"/>
      <c r="AJ1" s="408"/>
      <c r="AK1" s="408"/>
      <c r="AL1" s="408"/>
      <c r="AM1" s="403"/>
    </row>
    <row r="2" spans="1:39" x14ac:dyDescent="0.2">
      <c r="A2" s="409" t="s">
        <v>265</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3"/>
      <c r="AE2" s="403"/>
      <c r="AF2" s="403"/>
      <c r="AG2" s="403"/>
      <c r="AH2" s="403"/>
      <c r="AI2" s="403"/>
      <c r="AJ2" s="403"/>
      <c r="AK2" s="403"/>
      <c r="AL2" s="403"/>
      <c r="AM2" s="403"/>
    </row>
    <row r="3" spans="1:39" x14ac:dyDescent="0.2">
      <c r="A3" s="409" t="s">
        <v>266</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3"/>
      <c r="AE3" s="403"/>
      <c r="AF3" s="403"/>
      <c r="AG3" s="403"/>
      <c r="AH3" s="403"/>
      <c r="AI3" s="403"/>
      <c r="AJ3" s="403"/>
      <c r="AK3" s="403"/>
      <c r="AL3" s="403"/>
      <c r="AM3" s="403"/>
    </row>
    <row r="4" spans="1:39" x14ac:dyDescent="0.2">
      <c r="A4" s="409" t="s">
        <v>267</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417" t="s">
        <v>231</v>
      </c>
      <c r="AE4" s="403"/>
      <c r="AF4" s="403"/>
      <c r="AG4" s="403"/>
      <c r="AH4" s="403"/>
      <c r="AI4" s="403"/>
      <c r="AJ4" s="403"/>
      <c r="AK4" s="403"/>
      <c r="AL4" s="403"/>
      <c r="AM4" s="403"/>
    </row>
    <row r="5" spans="1:39"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14</v>
      </c>
      <c r="AE5" s="421"/>
      <c r="AF5" s="422"/>
      <c r="AG5" s="421"/>
      <c r="AH5" s="423"/>
      <c r="AI5" s="421"/>
      <c r="AJ5" s="421"/>
      <c r="AK5" s="421"/>
      <c r="AL5" s="421"/>
      <c r="AM5" s="403"/>
    </row>
    <row r="6" spans="1:39"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20" t="s">
        <v>233</v>
      </c>
      <c r="AE6" s="424"/>
      <c r="AF6" s="424" t="s">
        <v>234</v>
      </c>
      <c r="AG6" s="424"/>
      <c r="AH6" s="425" t="s">
        <v>235</v>
      </c>
      <c r="AI6" s="424"/>
      <c r="AJ6" s="424" t="s">
        <v>236</v>
      </c>
      <c r="AK6" s="426"/>
      <c r="AL6" s="424" t="s">
        <v>237</v>
      </c>
      <c r="AM6" s="403"/>
    </row>
    <row r="7" spans="1:39"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20" t="s">
        <v>245</v>
      </c>
      <c r="AE7" s="421"/>
      <c r="AF7" s="422"/>
      <c r="AG7" s="421"/>
      <c r="AH7" s="422"/>
      <c r="AI7" s="434"/>
      <c r="AJ7" s="434"/>
      <c r="AK7" s="434"/>
      <c r="AL7" s="434"/>
      <c r="AM7" s="403"/>
    </row>
    <row r="8" spans="1:39" x14ac:dyDescent="0.2">
      <c r="A8" s="435">
        <v>1</v>
      </c>
      <c r="B8" s="436"/>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SUM(AE8:AL8)</f>
        <v>0</v>
      </c>
      <c r="AE8" s="459" t="str">
        <f>IFERROR(INDEX(V!R$7:R$58,MATCH(AF8,V!L$7:L$58,0)),"")</f>
        <v/>
      </c>
      <c r="AF8" s="460" t="str">
        <f>IFERROR(LEFT(B8,(FIND(",",B8,1)-1)),"")</f>
        <v/>
      </c>
      <c r="AG8" s="459" t="str">
        <f>IFERROR(INDEX(V!R$7:R$58,MATCH(AH8,V!L$7:L$58,0)),"")</f>
        <v/>
      </c>
      <c r="AH8" s="460" t="str">
        <f>IFERROR(MID(B8,FIND(", ",B8)+2,256),"")</f>
        <v/>
      </c>
      <c r="AI8" s="459" t="str">
        <f>IFERROR(INDEX(V!R$7:R$58,MATCH(AJ8,V!L$7:L$58,0)),"")</f>
        <v/>
      </c>
      <c r="AJ8" s="460" t="str">
        <f>IFERROR(MID(B8,FIND("^",SUBSTITUTE(B8,", ","^",1))+2,FIND("^",SUBSTITUTE(B8,", ","^",2))-FIND("^",SUBSTITUTE(B8,", ","^",1))-2),"")</f>
        <v/>
      </c>
      <c r="AK8" s="459" t="str">
        <f>IFERROR(INDEX(V!R$7:R$58,MATCH(AL8,V!L$7:L$58,0)),"")</f>
        <v/>
      </c>
      <c r="AL8" s="460" t="str">
        <f>IFERROR(MID(B8,FIND(", ",B8,FIND(", ",B8,FIND(", ",B8))+1)+2,700),"")</f>
        <v/>
      </c>
      <c r="AM8" s="403"/>
    </row>
    <row r="9" spans="1:39" x14ac:dyDescent="0.2">
      <c r="A9" s="435">
        <v>2</v>
      </c>
      <c r="B9" s="436"/>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7" si="0">IF(C9&gt;E9,J$3,IF(C9&lt;E9,J$5,IF(ISNUMBER(C9),J$4,0)))+IF(G9&gt;I9,J$3,IF(G9&lt;I9,J$5,IF(ISNUMBER(G9),J$4,0)))+IF(K9&gt;M9,J$3,IF(K9&lt;M9,J$5,IF(ISNUMBER(K9),J$4,0)))+IF(O9&gt;Q9,J$3,IF(O9&lt;Q9,J$5,IF(ISNUMBER(O9),J$4,0)))+IF(S9&gt;U9,J$3,IF(S9&lt;U9,J$5,IF(ISNUMBER(S9),J$4,0)))</f>
        <v>0</v>
      </c>
      <c r="X9" s="442"/>
      <c r="Y9" s="437">
        <f t="shared" ref="Y9:Y27" si="1">C9+G9+K9+O9+S9</f>
        <v>0</v>
      </c>
      <c r="Z9" s="438" t="s">
        <v>246</v>
      </c>
      <c r="AA9" s="443">
        <f t="shared" ref="AA9:AA27" si="2">E9+I9+M9+Q9+U9</f>
        <v>0</v>
      </c>
      <c r="AB9" s="444">
        <f t="shared" ref="AB9:AB27" si="3">Y9-AA9</f>
        <v>0</v>
      </c>
      <c r="AC9" s="445"/>
      <c r="AD9" s="458">
        <f t="shared" ref="AD9:AD31" si="4">SUM(AE9:AL9)</f>
        <v>0</v>
      </c>
      <c r="AE9" s="459" t="str">
        <f>IFERROR(INDEX(V!R$7:R$58,MATCH(AF9,V!L$7:L$58,0)),"")</f>
        <v/>
      </c>
      <c r="AF9" s="460" t="str">
        <f t="shared" ref="AF9:AF31" si="5">IFERROR(LEFT(B9,(FIND(",",B9,1)-1)),"")</f>
        <v/>
      </c>
      <c r="AG9" s="459" t="str">
        <f>IFERROR(INDEX(V!R$7:R$58,MATCH(AH9,V!L$7:L$58,0)),"")</f>
        <v/>
      </c>
      <c r="AH9" s="460" t="str">
        <f t="shared" ref="AH9:AH31" si="6">IFERROR(MID(B9,FIND(", ",B9)+2,256),"")</f>
        <v/>
      </c>
      <c r="AI9" s="459" t="str">
        <f>IFERROR(INDEX(V!R$7:R$58,MATCH(AJ9,V!L$7:L$58,0)),"")</f>
        <v/>
      </c>
      <c r="AJ9" s="460" t="str">
        <f t="shared" ref="AJ9:AJ31" si="7">IFERROR(MID(B9,FIND("^",SUBSTITUTE(B9,", ","^",1))+2,FIND("^",SUBSTITUTE(B9,", ","^",2))-FIND("^",SUBSTITUTE(B9,", ","^",1))-2),"")</f>
        <v/>
      </c>
      <c r="AK9" s="459" t="str">
        <f>IFERROR(INDEX(V!R$7:R$58,MATCH(AL9,V!L$7:L$58,0)),"")</f>
        <v/>
      </c>
      <c r="AL9" s="460" t="str">
        <f t="shared" ref="AL9:AL31" si="8">IFERROR(MID(B9,FIND(", ",B9,FIND(", ",B9,FIND(", ",B9))+1)+2,700),"")</f>
        <v/>
      </c>
      <c r="AM9" s="403"/>
    </row>
    <row r="10" spans="1:39" x14ac:dyDescent="0.2">
      <c r="A10" s="435">
        <v>3</v>
      </c>
      <c r="B10" s="436"/>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0"/>
        <v>0</v>
      </c>
      <c r="X10" s="442"/>
      <c r="Y10" s="437">
        <f t="shared" si="1"/>
        <v>0</v>
      </c>
      <c r="Z10" s="438" t="s">
        <v>246</v>
      </c>
      <c r="AA10" s="443">
        <f t="shared" si="2"/>
        <v>0</v>
      </c>
      <c r="AB10" s="444">
        <f t="shared" si="3"/>
        <v>0</v>
      </c>
      <c r="AC10" s="445"/>
      <c r="AD10" s="458">
        <f t="shared" si="4"/>
        <v>0</v>
      </c>
      <c r="AE10" s="459" t="str">
        <f>IFERROR(INDEX(V!R$7:R$58,MATCH(AF10,V!L$7:L$58,0)),"")</f>
        <v/>
      </c>
      <c r="AF10" s="460" t="str">
        <f t="shared" si="5"/>
        <v/>
      </c>
      <c r="AG10" s="459" t="str">
        <f>IFERROR(INDEX(V!R$7:R$58,MATCH(AH10,V!L$7:L$58,0)),"")</f>
        <v/>
      </c>
      <c r="AH10" s="460" t="str">
        <f t="shared" si="6"/>
        <v/>
      </c>
      <c r="AI10" s="459" t="str">
        <f>IFERROR(INDEX(V!R$7:R$58,MATCH(AJ10,V!L$7:L$58,0)),"")</f>
        <v/>
      </c>
      <c r="AJ10" s="460" t="str">
        <f t="shared" si="7"/>
        <v/>
      </c>
      <c r="AK10" s="459" t="str">
        <f>IFERROR(INDEX(V!R$7:R$58,MATCH(AL10,V!L$7:L$58,0)),"")</f>
        <v/>
      </c>
      <c r="AL10" s="460" t="str">
        <f t="shared" si="8"/>
        <v/>
      </c>
      <c r="AM10" s="403"/>
    </row>
    <row r="11" spans="1:39" x14ac:dyDescent="0.2">
      <c r="A11" s="435">
        <v>4</v>
      </c>
      <c r="B11" s="436"/>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0"/>
        <v>0</v>
      </c>
      <c r="X11" s="442"/>
      <c r="Y11" s="437">
        <f t="shared" si="1"/>
        <v>0</v>
      </c>
      <c r="Z11" s="438" t="s">
        <v>246</v>
      </c>
      <c r="AA11" s="443">
        <f t="shared" si="2"/>
        <v>0</v>
      </c>
      <c r="AB11" s="444">
        <f t="shared" si="3"/>
        <v>0</v>
      </c>
      <c r="AC11" s="445"/>
      <c r="AD11" s="458">
        <f t="shared" si="4"/>
        <v>0</v>
      </c>
      <c r="AE11" s="459" t="str">
        <f>IFERROR(INDEX(V!R$7:R$58,MATCH(AF11,V!L$7:L$58,0)),"")</f>
        <v/>
      </c>
      <c r="AF11" s="460" t="str">
        <f t="shared" si="5"/>
        <v/>
      </c>
      <c r="AG11" s="459" t="str">
        <f>IFERROR(INDEX(V!R$7:R$58,MATCH(AH11,V!L$7:L$58,0)),"")</f>
        <v/>
      </c>
      <c r="AH11" s="460" t="str">
        <f t="shared" si="6"/>
        <v/>
      </c>
      <c r="AI11" s="459" t="str">
        <f>IFERROR(INDEX(V!R$7:R$58,MATCH(AJ11,V!L$7:L$58,0)),"")</f>
        <v/>
      </c>
      <c r="AJ11" s="460" t="str">
        <f t="shared" si="7"/>
        <v/>
      </c>
      <c r="AK11" s="459" t="str">
        <f>IFERROR(INDEX(V!R$7:R$58,MATCH(AL11,V!L$7:L$58,0)),"")</f>
        <v/>
      </c>
      <c r="AL11" s="460" t="str">
        <f t="shared" si="8"/>
        <v/>
      </c>
      <c r="AM11" s="403"/>
    </row>
    <row r="12" spans="1:39" x14ac:dyDescent="0.2">
      <c r="A12" s="435">
        <v>5</v>
      </c>
      <c r="B12" s="436"/>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0"/>
        <v>0</v>
      </c>
      <c r="X12" s="442"/>
      <c r="Y12" s="437">
        <f t="shared" si="1"/>
        <v>0</v>
      </c>
      <c r="Z12" s="438" t="s">
        <v>246</v>
      </c>
      <c r="AA12" s="443">
        <f t="shared" si="2"/>
        <v>0</v>
      </c>
      <c r="AB12" s="444">
        <f t="shared" si="3"/>
        <v>0</v>
      </c>
      <c r="AC12" s="445"/>
      <c r="AD12" s="458">
        <f t="shared" si="4"/>
        <v>0</v>
      </c>
      <c r="AE12" s="459" t="str">
        <f>IFERROR(INDEX(V!R$7:R$58,MATCH(AF12,V!L$7:L$58,0)),"")</f>
        <v/>
      </c>
      <c r="AF12" s="460" t="str">
        <f t="shared" si="5"/>
        <v/>
      </c>
      <c r="AG12" s="459" t="str">
        <f>IFERROR(INDEX(V!R$7:R$58,MATCH(AH12,V!L$7:L$58,0)),"")</f>
        <v/>
      </c>
      <c r="AH12" s="460" t="str">
        <f t="shared" si="6"/>
        <v/>
      </c>
      <c r="AI12" s="459" t="str">
        <f>IFERROR(INDEX(V!R$7:R$58,MATCH(AJ12,V!L$7:L$58,0)),"")</f>
        <v/>
      </c>
      <c r="AJ12" s="460" t="str">
        <f t="shared" si="7"/>
        <v/>
      </c>
      <c r="AK12" s="459" t="str">
        <f>IFERROR(INDEX(V!R$7:R$58,MATCH(AL12,V!L$7:L$58,0)),"")</f>
        <v/>
      </c>
      <c r="AL12" s="460" t="str">
        <f t="shared" si="8"/>
        <v/>
      </c>
      <c r="AM12" s="403"/>
    </row>
    <row r="13" spans="1:39" x14ac:dyDescent="0.2">
      <c r="A13" s="435">
        <v>6</v>
      </c>
      <c r="B13" s="436"/>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0"/>
        <v>0</v>
      </c>
      <c r="X13" s="442"/>
      <c r="Y13" s="437">
        <f t="shared" si="1"/>
        <v>0</v>
      </c>
      <c r="Z13" s="438" t="s">
        <v>246</v>
      </c>
      <c r="AA13" s="443">
        <f t="shared" si="2"/>
        <v>0</v>
      </c>
      <c r="AB13" s="444">
        <f t="shared" si="3"/>
        <v>0</v>
      </c>
      <c r="AC13" s="445"/>
      <c r="AD13" s="458">
        <f t="shared" si="4"/>
        <v>0</v>
      </c>
      <c r="AE13" s="459" t="str">
        <f>IFERROR(INDEX(V!R$7:R$58,MATCH(AF13,V!L$7:L$58,0)),"")</f>
        <v/>
      </c>
      <c r="AF13" s="460" t="str">
        <f t="shared" si="5"/>
        <v/>
      </c>
      <c r="AG13" s="459" t="str">
        <f>IFERROR(INDEX(V!R$7:R$58,MATCH(AH13,V!L$7:L$58,0)),"")</f>
        <v/>
      </c>
      <c r="AH13" s="460" t="str">
        <f t="shared" si="6"/>
        <v/>
      </c>
      <c r="AI13" s="459" t="str">
        <f>IFERROR(INDEX(V!R$7:R$58,MATCH(AJ13,V!L$7:L$58,0)),"")</f>
        <v/>
      </c>
      <c r="AJ13" s="460" t="str">
        <f t="shared" si="7"/>
        <v/>
      </c>
      <c r="AK13" s="459" t="str">
        <f>IFERROR(INDEX(V!R$7:R$58,MATCH(AL13,V!L$7:L$58,0)),"")</f>
        <v/>
      </c>
      <c r="AL13" s="460" t="str">
        <f t="shared" si="8"/>
        <v/>
      </c>
      <c r="AM13" s="403"/>
    </row>
    <row r="14" spans="1:39" x14ac:dyDescent="0.2">
      <c r="A14" s="435">
        <v>7</v>
      </c>
      <c r="B14" s="446"/>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0"/>
        <v>0</v>
      </c>
      <c r="X14" s="442"/>
      <c r="Y14" s="437">
        <f t="shared" si="1"/>
        <v>0</v>
      </c>
      <c r="Z14" s="438" t="s">
        <v>246</v>
      </c>
      <c r="AA14" s="443">
        <f t="shared" si="2"/>
        <v>0</v>
      </c>
      <c r="AB14" s="444">
        <f t="shared" si="3"/>
        <v>0</v>
      </c>
      <c r="AC14" s="445"/>
      <c r="AD14" s="458">
        <f t="shared" si="4"/>
        <v>0</v>
      </c>
      <c r="AE14" s="459" t="str">
        <f>IFERROR(INDEX(V!R$7:R$58,MATCH(AF14,V!L$7:L$58,0)),"")</f>
        <v/>
      </c>
      <c r="AF14" s="460" t="str">
        <f t="shared" si="5"/>
        <v/>
      </c>
      <c r="AG14" s="459" t="str">
        <f>IFERROR(INDEX(V!R$7:R$58,MATCH(AH14,V!L$7:L$58,0)),"")</f>
        <v/>
      </c>
      <c r="AH14" s="460" t="str">
        <f t="shared" si="6"/>
        <v/>
      </c>
      <c r="AI14" s="459" t="str">
        <f>IFERROR(INDEX(V!R$7:R$58,MATCH(AJ14,V!L$7:L$58,0)),"")</f>
        <v/>
      </c>
      <c r="AJ14" s="460" t="str">
        <f t="shared" si="7"/>
        <v/>
      </c>
      <c r="AK14" s="459" t="str">
        <f>IFERROR(INDEX(V!R$7:R$58,MATCH(AL14,V!L$7:L$58,0)),"")</f>
        <v/>
      </c>
      <c r="AL14" s="460" t="str">
        <f t="shared" si="8"/>
        <v/>
      </c>
      <c r="AM14" s="403"/>
    </row>
    <row r="15" spans="1:39" x14ac:dyDescent="0.2">
      <c r="A15" s="435">
        <v>8</v>
      </c>
      <c r="B15" s="446"/>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0"/>
        <v>0</v>
      </c>
      <c r="X15" s="442"/>
      <c r="Y15" s="437">
        <f t="shared" si="1"/>
        <v>0</v>
      </c>
      <c r="Z15" s="438" t="s">
        <v>246</v>
      </c>
      <c r="AA15" s="443">
        <f t="shared" si="2"/>
        <v>0</v>
      </c>
      <c r="AB15" s="444">
        <f t="shared" si="3"/>
        <v>0</v>
      </c>
      <c r="AC15" s="445"/>
      <c r="AD15" s="458">
        <f t="shared" si="4"/>
        <v>0</v>
      </c>
      <c r="AE15" s="459" t="str">
        <f>IFERROR(INDEX(V!R$7:R$58,MATCH(AF15,V!L$7:L$58,0)),"")</f>
        <v/>
      </c>
      <c r="AF15" s="460" t="str">
        <f t="shared" si="5"/>
        <v/>
      </c>
      <c r="AG15" s="459" t="str">
        <f>IFERROR(INDEX(V!R$7:R$58,MATCH(AH15,V!L$7:L$58,0)),"")</f>
        <v/>
      </c>
      <c r="AH15" s="460" t="str">
        <f t="shared" si="6"/>
        <v/>
      </c>
      <c r="AI15" s="459" t="str">
        <f>IFERROR(INDEX(V!R$7:R$58,MATCH(AJ15,V!L$7:L$58,0)),"")</f>
        <v/>
      </c>
      <c r="AJ15" s="460" t="str">
        <f t="shared" si="7"/>
        <v/>
      </c>
      <c r="AK15" s="459" t="str">
        <f>IFERROR(INDEX(V!R$7:R$58,MATCH(AL15,V!L$7:L$58,0)),"")</f>
        <v/>
      </c>
      <c r="AL15" s="460" t="str">
        <f t="shared" si="8"/>
        <v/>
      </c>
      <c r="AM15" s="403"/>
    </row>
    <row r="16" spans="1:39" x14ac:dyDescent="0.2">
      <c r="A16" s="435">
        <v>9</v>
      </c>
      <c r="B16" s="436"/>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0"/>
        <v>0</v>
      </c>
      <c r="X16" s="442"/>
      <c r="Y16" s="437">
        <f t="shared" si="1"/>
        <v>0</v>
      </c>
      <c r="Z16" s="438" t="s">
        <v>246</v>
      </c>
      <c r="AA16" s="443">
        <f t="shared" si="2"/>
        <v>0</v>
      </c>
      <c r="AB16" s="444">
        <f t="shared" si="3"/>
        <v>0</v>
      </c>
      <c r="AC16" s="445"/>
      <c r="AD16" s="458">
        <f t="shared" si="4"/>
        <v>0</v>
      </c>
      <c r="AE16" s="459" t="str">
        <f>IFERROR(INDEX(V!R$7:R$58,MATCH(AF16,V!L$7:L$58,0)),"")</f>
        <v/>
      </c>
      <c r="AF16" s="460" t="str">
        <f t="shared" si="5"/>
        <v/>
      </c>
      <c r="AG16" s="459" t="str">
        <f>IFERROR(INDEX(V!R$7:R$58,MATCH(AH16,V!L$7:L$58,0)),"")</f>
        <v/>
      </c>
      <c r="AH16" s="460" t="str">
        <f t="shared" si="6"/>
        <v/>
      </c>
      <c r="AI16" s="459" t="str">
        <f>IFERROR(INDEX(V!R$7:R$58,MATCH(AJ16,V!L$7:L$58,0)),"")</f>
        <v/>
      </c>
      <c r="AJ16" s="460" t="str">
        <f t="shared" si="7"/>
        <v/>
      </c>
      <c r="AK16" s="459" t="str">
        <f>IFERROR(INDEX(V!R$7:R$58,MATCH(AL16,V!L$7:L$58,0)),"")</f>
        <v/>
      </c>
      <c r="AL16" s="460" t="str">
        <f t="shared" si="8"/>
        <v/>
      </c>
      <c r="AM16" s="403"/>
    </row>
    <row r="17" spans="1:39" x14ac:dyDescent="0.2">
      <c r="A17" s="435">
        <v>10</v>
      </c>
      <c r="B17" s="436"/>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0"/>
        <v>0</v>
      </c>
      <c r="X17" s="442"/>
      <c r="Y17" s="437">
        <f t="shared" si="1"/>
        <v>0</v>
      </c>
      <c r="Z17" s="438" t="s">
        <v>246</v>
      </c>
      <c r="AA17" s="443">
        <f t="shared" si="2"/>
        <v>0</v>
      </c>
      <c r="AB17" s="444">
        <f t="shared" si="3"/>
        <v>0</v>
      </c>
      <c r="AC17" s="445"/>
      <c r="AD17" s="458">
        <f t="shared" si="4"/>
        <v>0</v>
      </c>
      <c r="AE17" s="459" t="str">
        <f>IFERROR(INDEX(V!R$7:R$58,MATCH(AF17,V!L$7:L$58,0)),"")</f>
        <v/>
      </c>
      <c r="AF17" s="460" t="str">
        <f t="shared" si="5"/>
        <v/>
      </c>
      <c r="AG17" s="459" t="str">
        <f>IFERROR(INDEX(V!R$7:R$58,MATCH(AH17,V!L$7:L$58,0)),"")</f>
        <v/>
      </c>
      <c r="AH17" s="460" t="str">
        <f t="shared" si="6"/>
        <v/>
      </c>
      <c r="AI17" s="459" t="str">
        <f>IFERROR(INDEX(V!R$7:R$58,MATCH(AJ17,V!L$7:L$58,0)),"")</f>
        <v/>
      </c>
      <c r="AJ17" s="460" t="str">
        <f t="shared" si="7"/>
        <v/>
      </c>
      <c r="AK17" s="459" t="str">
        <f>IFERROR(INDEX(V!R$7:R$58,MATCH(AL17,V!L$7:L$58,0)),"")</f>
        <v/>
      </c>
      <c r="AL17" s="460" t="str">
        <f t="shared" si="8"/>
        <v/>
      </c>
      <c r="AM17" s="403"/>
    </row>
    <row r="18" spans="1:39" x14ac:dyDescent="0.2">
      <c r="A18" s="435">
        <v>11</v>
      </c>
      <c r="B18" s="446"/>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0"/>
        <v>0</v>
      </c>
      <c r="X18" s="442"/>
      <c r="Y18" s="437">
        <f t="shared" si="1"/>
        <v>0</v>
      </c>
      <c r="Z18" s="438" t="s">
        <v>246</v>
      </c>
      <c r="AA18" s="443">
        <f t="shared" si="2"/>
        <v>0</v>
      </c>
      <c r="AB18" s="444">
        <f t="shared" si="3"/>
        <v>0</v>
      </c>
      <c r="AC18" s="445"/>
      <c r="AD18" s="458">
        <f t="shared" si="4"/>
        <v>0</v>
      </c>
      <c r="AE18" s="459" t="str">
        <f>IFERROR(INDEX(V!R$7:R$58,MATCH(AF18,V!L$7:L$58,0)),"")</f>
        <v/>
      </c>
      <c r="AF18" s="460" t="str">
        <f t="shared" si="5"/>
        <v/>
      </c>
      <c r="AG18" s="459" t="str">
        <f>IFERROR(INDEX(V!R$7:R$58,MATCH(AH18,V!L$7:L$58,0)),"")</f>
        <v/>
      </c>
      <c r="AH18" s="460" t="str">
        <f t="shared" si="6"/>
        <v/>
      </c>
      <c r="AI18" s="459" t="str">
        <f>IFERROR(INDEX(V!R$7:R$58,MATCH(AJ18,V!L$7:L$58,0)),"")</f>
        <v/>
      </c>
      <c r="AJ18" s="460" t="str">
        <f t="shared" si="7"/>
        <v/>
      </c>
      <c r="AK18" s="459" t="str">
        <f>IFERROR(INDEX(V!R$7:R$58,MATCH(AL18,V!L$7:L$58,0)),"")</f>
        <v/>
      </c>
      <c r="AL18" s="460" t="str">
        <f t="shared" si="8"/>
        <v/>
      </c>
      <c r="AM18" s="403"/>
    </row>
    <row r="19" spans="1:39" x14ac:dyDescent="0.2">
      <c r="A19" s="435">
        <v>12</v>
      </c>
      <c r="B19" s="446"/>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0"/>
        <v>0</v>
      </c>
      <c r="X19" s="442"/>
      <c r="Y19" s="437">
        <f t="shared" si="1"/>
        <v>0</v>
      </c>
      <c r="Z19" s="438" t="s">
        <v>246</v>
      </c>
      <c r="AA19" s="443">
        <f t="shared" si="2"/>
        <v>0</v>
      </c>
      <c r="AB19" s="444">
        <f t="shared" si="3"/>
        <v>0</v>
      </c>
      <c r="AC19" s="445"/>
      <c r="AD19" s="458">
        <f t="shared" si="4"/>
        <v>0</v>
      </c>
      <c r="AE19" s="459" t="str">
        <f>IFERROR(INDEX(V!R$7:R$58,MATCH(AF19,V!L$7:L$58,0)),"")</f>
        <v/>
      </c>
      <c r="AF19" s="460" t="str">
        <f t="shared" si="5"/>
        <v/>
      </c>
      <c r="AG19" s="459" t="str">
        <f>IFERROR(INDEX(V!R$7:R$58,MATCH(AH19,V!L$7:L$58,0)),"")</f>
        <v/>
      </c>
      <c r="AH19" s="460" t="str">
        <f t="shared" si="6"/>
        <v/>
      </c>
      <c r="AI19" s="459" t="str">
        <f>IFERROR(INDEX(V!R$7:R$58,MATCH(AJ19,V!L$7:L$58,0)),"")</f>
        <v/>
      </c>
      <c r="AJ19" s="460" t="str">
        <f t="shared" si="7"/>
        <v/>
      </c>
      <c r="AK19" s="459" t="str">
        <f>IFERROR(INDEX(V!R$7:R$58,MATCH(AL19,V!L$7:L$58,0)),"")</f>
        <v/>
      </c>
      <c r="AL19" s="460" t="str">
        <f t="shared" si="8"/>
        <v/>
      </c>
      <c r="AM19" s="403"/>
    </row>
    <row r="20" spans="1:39" x14ac:dyDescent="0.2">
      <c r="A20" s="435">
        <v>13</v>
      </c>
      <c r="B20" s="436"/>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0"/>
        <v>0</v>
      </c>
      <c r="X20" s="442"/>
      <c r="Y20" s="437">
        <f t="shared" si="1"/>
        <v>0</v>
      </c>
      <c r="Z20" s="438" t="s">
        <v>246</v>
      </c>
      <c r="AA20" s="443">
        <f t="shared" si="2"/>
        <v>0</v>
      </c>
      <c r="AB20" s="444">
        <f t="shared" si="3"/>
        <v>0</v>
      </c>
      <c r="AC20" s="445"/>
      <c r="AD20" s="458">
        <f t="shared" si="4"/>
        <v>0</v>
      </c>
      <c r="AE20" s="459" t="str">
        <f>IFERROR(INDEX(V!R$7:R$58,MATCH(AF20,V!L$7:L$58,0)),"")</f>
        <v/>
      </c>
      <c r="AF20" s="460" t="str">
        <f t="shared" si="5"/>
        <v/>
      </c>
      <c r="AG20" s="459" t="str">
        <f>IFERROR(INDEX(V!R$7:R$58,MATCH(AH20,V!L$7:L$58,0)),"")</f>
        <v/>
      </c>
      <c r="AH20" s="460" t="str">
        <f t="shared" si="6"/>
        <v/>
      </c>
      <c r="AI20" s="459" t="str">
        <f>IFERROR(INDEX(V!R$7:R$58,MATCH(AJ20,V!L$7:L$58,0)),"")</f>
        <v/>
      </c>
      <c r="AJ20" s="460" t="str">
        <f t="shared" si="7"/>
        <v/>
      </c>
      <c r="AK20" s="459" t="str">
        <f>IFERROR(INDEX(V!R$7:R$58,MATCH(AL20,V!L$7:L$58,0)),"")</f>
        <v/>
      </c>
      <c r="AL20" s="460" t="str">
        <f t="shared" si="8"/>
        <v/>
      </c>
      <c r="AM20" s="403"/>
    </row>
    <row r="21" spans="1:39" x14ac:dyDescent="0.2">
      <c r="A21" s="435">
        <v>14</v>
      </c>
      <c r="B21" s="446"/>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0"/>
        <v>0</v>
      </c>
      <c r="X21" s="442"/>
      <c r="Y21" s="437">
        <f t="shared" si="1"/>
        <v>0</v>
      </c>
      <c r="Z21" s="438" t="s">
        <v>246</v>
      </c>
      <c r="AA21" s="443">
        <f t="shared" si="2"/>
        <v>0</v>
      </c>
      <c r="AB21" s="444">
        <f t="shared" si="3"/>
        <v>0</v>
      </c>
      <c r="AC21" s="445"/>
      <c r="AD21" s="458">
        <f t="shared" si="4"/>
        <v>0</v>
      </c>
      <c r="AE21" s="459" t="str">
        <f>IFERROR(INDEX(V!R$7:R$58,MATCH(AF21,V!L$7:L$58,0)),"")</f>
        <v/>
      </c>
      <c r="AF21" s="460" t="str">
        <f t="shared" si="5"/>
        <v/>
      </c>
      <c r="AG21" s="459" t="str">
        <f>IFERROR(INDEX(V!R$7:R$58,MATCH(AH21,V!L$7:L$58,0)),"")</f>
        <v/>
      </c>
      <c r="AH21" s="460" t="str">
        <f t="shared" si="6"/>
        <v/>
      </c>
      <c r="AI21" s="459" t="str">
        <f>IFERROR(INDEX(V!R$7:R$58,MATCH(AJ21,V!L$7:L$58,0)),"")</f>
        <v/>
      </c>
      <c r="AJ21" s="460" t="str">
        <f t="shared" si="7"/>
        <v/>
      </c>
      <c r="AK21" s="459" t="str">
        <f>IFERROR(INDEX(V!R$7:R$58,MATCH(AL21,V!L$7:L$58,0)),"")</f>
        <v/>
      </c>
      <c r="AL21" s="460" t="str">
        <f t="shared" si="8"/>
        <v/>
      </c>
      <c r="AM21" s="403"/>
    </row>
    <row r="22" spans="1:39" x14ac:dyDescent="0.2">
      <c r="A22" s="435">
        <v>15</v>
      </c>
      <c r="B22" s="446"/>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0"/>
        <v>0</v>
      </c>
      <c r="X22" s="442"/>
      <c r="Y22" s="437">
        <f t="shared" si="1"/>
        <v>0</v>
      </c>
      <c r="Z22" s="438" t="s">
        <v>246</v>
      </c>
      <c r="AA22" s="443">
        <f t="shared" si="2"/>
        <v>0</v>
      </c>
      <c r="AB22" s="444">
        <f t="shared" si="3"/>
        <v>0</v>
      </c>
      <c r="AC22" s="445"/>
      <c r="AD22" s="458">
        <f t="shared" si="4"/>
        <v>0</v>
      </c>
      <c r="AE22" s="459" t="str">
        <f>IFERROR(INDEX(V!R$7:R$58,MATCH(AF22,V!L$7:L$58,0)),"")</f>
        <v/>
      </c>
      <c r="AF22" s="460" t="str">
        <f t="shared" si="5"/>
        <v/>
      </c>
      <c r="AG22" s="459" t="str">
        <f>IFERROR(INDEX(V!R$7:R$58,MATCH(AH22,V!L$7:L$58,0)),"")</f>
        <v/>
      </c>
      <c r="AH22" s="460" t="str">
        <f t="shared" si="6"/>
        <v/>
      </c>
      <c r="AI22" s="459" t="str">
        <f>IFERROR(INDEX(V!R$7:R$58,MATCH(AJ22,V!L$7:L$58,0)),"")</f>
        <v/>
      </c>
      <c r="AJ22" s="460" t="str">
        <f t="shared" si="7"/>
        <v/>
      </c>
      <c r="AK22" s="459" t="str">
        <f>IFERROR(INDEX(V!R$7:R$58,MATCH(AL22,V!L$7:L$58,0)),"")</f>
        <v/>
      </c>
      <c r="AL22" s="460" t="str">
        <f t="shared" si="8"/>
        <v/>
      </c>
      <c r="AM22" s="403"/>
    </row>
    <row r="23" spans="1:39" x14ac:dyDescent="0.2">
      <c r="A23" s="435">
        <v>16</v>
      </c>
      <c r="B23" s="436"/>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0"/>
        <v>0</v>
      </c>
      <c r="X23" s="442"/>
      <c r="Y23" s="437">
        <f t="shared" si="1"/>
        <v>0</v>
      </c>
      <c r="Z23" s="438" t="s">
        <v>246</v>
      </c>
      <c r="AA23" s="443">
        <f t="shared" si="2"/>
        <v>0</v>
      </c>
      <c r="AB23" s="444">
        <f t="shared" si="3"/>
        <v>0</v>
      </c>
      <c r="AC23" s="445"/>
      <c r="AD23" s="458">
        <f t="shared" si="4"/>
        <v>0</v>
      </c>
      <c r="AE23" s="459" t="str">
        <f>IFERROR(INDEX(V!R$7:R$58,MATCH(AF23,V!L$7:L$58,0)),"")</f>
        <v/>
      </c>
      <c r="AF23" s="460" t="str">
        <f t="shared" si="5"/>
        <v/>
      </c>
      <c r="AG23" s="459" t="str">
        <f>IFERROR(INDEX(V!R$7:R$58,MATCH(AH23,V!L$7:L$58,0)),"")</f>
        <v/>
      </c>
      <c r="AH23" s="460" t="str">
        <f t="shared" si="6"/>
        <v/>
      </c>
      <c r="AI23" s="459" t="str">
        <f>IFERROR(INDEX(V!R$7:R$58,MATCH(AJ23,V!L$7:L$58,0)),"")</f>
        <v/>
      </c>
      <c r="AJ23" s="460" t="str">
        <f t="shared" si="7"/>
        <v/>
      </c>
      <c r="AK23" s="459" t="str">
        <f>IFERROR(INDEX(V!R$7:R$58,MATCH(AL23,V!L$7:L$58,0)),"")</f>
        <v/>
      </c>
      <c r="AL23" s="460" t="str">
        <f t="shared" si="8"/>
        <v/>
      </c>
      <c r="AM23" s="403"/>
    </row>
    <row r="24" spans="1:39" x14ac:dyDescent="0.2">
      <c r="A24" s="435">
        <v>17</v>
      </c>
      <c r="B24" s="446"/>
      <c r="C24" s="437"/>
      <c r="D24" s="438" t="s">
        <v>246</v>
      </c>
      <c r="E24" s="439"/>
      <c r="F24" s="440"/>
      <c r="G24" s="437"/>
      <c r="H24" s="438" t="s">
        <v>246</v>
      </c>
      <c r="I24" s="439"/>
      <c r="J24" s="440"/>
      <c r="K24" s="437"/>
      <c r="L24" s="438" t="s">
        <v>246</v>
      </c>
      <c r="M24" s="439"/>
      <c r="N24" s="440"/>
      <c r="O24" s="437"/>
      <c r="P24" s="438" t="s">
        <v>246</v>
      </c>
      <c r="Q24" s="439"/>
      <c r="R24" s="440"/>
      <c r="S24" s="437"/>
      <c r="T24" s="438" t="s">
        <v>246</v>
      </c>
      <c r="U24" s="439"/>
      <c r="V24" s="440"/>
      <c r="W24" s="441">
        <f t="shared" si="0"/>
        <v>0</v>
      </c>
      <c r="X24" s="442"/>
      <c r="Y24" s="437">
        <f t="shared" si="1"/>
        <v>0</v>
      </c>
      <c r="Z24" s="438" t="s">
        <v>246</v>
      </c>
      <c r="AA24" s="443">
        <f t="shared" si="2"/>
        <v>0</v>
      </c>
      <c r="AB24" s="444">
        <f t="shared" si="3"/>
        <v>0</v>
      </c>
      <c r="AC24" s="445"/>
      <c r="AD24" s="458">
        <f t="shared" si="4"/>
        <v>0</v>
      </c>
      <c r="AE24" s="459" t="str">
        <f>IFERROR(INDEX(V!R$7:R$58,MATCH(AF24,V!L$7:L$58,0)),"")</f>
        <v/>
      </c>
      <c r="AF24" s="460" t="str">
        <f t="shared" si="5"/>
        <v/>
      </c>
      <c r="AG24" s="459" t="str">
        <f>IFERROR(INDEX(V!R$7:R$58,MATCH(AH24,V!L$7:L$58,0)),"")</f>
        <v/>
      </c>
      <c r="AH24" s="460" t="str">
        <f t="shared" si="6"/>
        <v/>
      </c>
      <c r="AI24" s="459" t="str">
        <f>IFERROR(INDEX(V!R$7:R$58,MATCH(AJ24,V!L$7:L$58,0)),"")</f>
        <v/>
      </c>
      <c r="AJ24" s="460" t="str">
        <f t="shared" si="7"/>
        <v/>
      </c>
      <c r="AK24" s="459" t="str">
        <f>IFERROR(INDEX(V!R$7:R$58,MATCH(AL24,V!L$7:L$58,0)),"")</f>
        <v/>
      </c>
      <c r="AL24" s="460" t="str">
        <f t="shared" si="8"/>
        <v/>
      </c>
      <c r="AM24" s="403"/>
    </row>
    <row r="25" spans="1:39" x14ac:dyDescent="0.2">
      <c r="A25" s="435">
        <v>18</v>
      </c>
      <c r="B25" s="446"/>
      <c r="C25" s="437"/>
      <c r="D25" s="438" t="s">
        <v>246</v>
      </c>
      <c r="E25" s="439"/>
      <c r="F25" s="440"/>
      <c r="G25" s="437"/>
      <c r="H25" s="438" t="s">
        <v>246</v>
      </c>
      <c r="I25" s="439"/>
      <c r="J25" s="440"/>
      <c r="K25" s="437"/>
      <c r="L25" s="438" t="s">
        <v>246</v>
      </c>
      <c r="M25" s="439"/>
      <c r="N25" s="440"/>
      <c r="O25" s="437"/>
      <c r="P25" s="438" t="s">
        <v>246</v>
      </c>
      <c r="Q25" s="439"/>
      <c r="R25" s="440"/>
      <c r="S25" s="437"/>
      <c r="T25" s="438" t="s">
        <v>246</v>
      </c>
      <c r="U25" s="439"/>
      <c r="V25" s="440"/>
      <c r="W25" s="441">
        <f t="shared" si="0"/>
        <v>0</v>
      </c>
      <c r="X25" s="442"/>
      <c r="Y25" s="437">
        <f t="shared" si="1"/>
        <v>0</v>
      </c>
      <c r="Z25" s="438" t="s">
        <v>246</v>
      </c>
      <c r="AA25" s="443">
        <f t="shared" si="2"/>
        <v>0</v>
      </c>
      <c r="AB25" s="444">
        <f t="shared" si="3"/>
        <v>0</v>
      </c>
      <c r="AC25" s="445"/>
      <c r="AD25" s="458">
        <f t="shared" si="4"/>
        <v>0</v>
      </c>
      <c r="AE25" s="459" t="str">
        <f>IFERROR(INDEX(V!R$7:R$58,MATCH(AF25,V!L$7:L$58,0)),"")</f>
        <v/>
      </c>
      <c r="AF25" s="460" t="str">
        <f t="shared" si="5"/>
        <v/>
      </c>
      <c r="AG25" s="459" t="str">
        <f>IFERROR(INDEX(V!R$7:R$58,MATCH(AH25,V!L$7:L$58,0)),"")</f>
        <v/>
      </c>
      <c r="AH25" s="460" t="str">
        <f t="shared" si="6"/>
        <v/>
      </c>
      <c r="AI25" s="459" t="str">
        <f>IFERROR(INDEX(V!R$7:R$58,MATCH(AJ25,V!L$7:L$58,0)),"")</f>
        <v/>
      </c>
      <c r="AJ25" s="460" t="str">
        <f t="shared" si="7"/>
        <v/>
      </c>
      <c r="AK25" s="459" t="str">
        <f>IFERROR(INDEX(V!R$7:R$58,MATCH(AL25,V!L$7:L$58,0)),"")</f>
        <v/>
      </c>
      <c r="AL25" s="460" t="str">
        <f t="shared" si="8"/>
        <v/>
      </c>
      <c r="AM25" s="403"/>
    </row>
    <row r="26" spans="1:39" x14ac:dyDescent="0.2">
      <c r="A26" s="435">
        <v>19</v>
      </c>
      <c r="B26" s="436"/>
      <c r="C26" s="437"/>
      <c r="D26" s="438" t="s">
        <v>246</v>
      </c>
      <c r="E26" s="439"/>
      <c r="F26" s="440"/>
      <c r="G26" s="437"/>
      <c r="H26" s="438" t="s">
        <v>246</v>
      </c>
      <c r="I26" s="439"/>
      <c r="J26" s="440"/>
      <c r="K26" s="437"/>
      <c r="L26" s="438" t="s">
        <v>246</v>
      </c>
      <c r="M26" s="439"/>
      <c r="N26" s="440"/>
      <c r="O26" s="437"/>
      <c r="P26" s="438" t="s">
        <v>246</v>
      </c>
      <c r="Q26" s="439"/>
      <c r="R26" s="440"/>
      <c r="S26" s="437"/>
      <c r="T26" s="438" t="s">
        <v>246</v>
      </c>
      <c r="U26" s="439"/>
      <c r="V26" s="440"/>
      <c r="W26" s="441">
        <f t="shared" si="0"/>
        <v>0</v>
      </c>
      <c r="X26" s="442"/>
      <c r="Y26" s="437">
        <f t="shared" si="1"/>
        <v>0</v>
      </c>
      <c r="Z26" s="438" t="s">
        <v>246</v>
      </c>
      <c r="AA26" s="443">
        <f t="shared" si="2"/>
        <v>0</v>
      </c>
      <c r="AB26" s="444">
        <f t="shared" si="3"/>
        <v>0</v>
      </c>
      <c r="AC26" s="445"/>
      <c r="AD26" s="458">
        <f t="shared" si="4"/>
        <v>0</v>
      </c>
      <c r="AE26" s="459" t="str">
        <f>IFERROR(INDEX(V!R$7:R$58,MATCH(AF26,V!L$7:L$58,0)),"")</f>
        <v/>
      </c>
      <c r="AF26" s="460" t="str">
        <f t="shared" si="5"/>
        <v/>
      </c>
      <c r="AG26" s="459" t="str">
        <f>IFERROR(INDEX(V!R$7:R$58,MATCH(AH26,V!L$7:L$58,0)),"")</f>
        <v/>
      </c>
      <c r="AH26" s="460" t="str">
        <f t="shared" si="6"/>
        <v/>
      </c>
      <c r="AI26" s="459" t="str">
        <f>IFERROR(INDEX(V!R$7:R$58,MATCH(AJ26,V!L$7:L$58,0)),"")</f>
        <v/>
      </c>
      <c r="AJ26" s="460" t="str">
        <f t="shared" si="7"/>
        <v/>
      </c>
      <c r="AK26" s="459" t="str">
        <f>IFERROR(INDEX(V!R$7:R$58,MATCH(AL26,V!L$7:L$58,0)),"")</f>
        <v/>
      </c>
      <c r="AL26" s="460" t="str">
        <f t="shared" si="8"/>
        <v/>
      </c>
      <c r="AM26" s="403"/>
    </row>
    <row r="27" spans="1:39" x14ac:dyDescent="0.2">
      <c r="A27" s="435">
        <v>20</v>
      </c>
      <c r="B27" s="446"/>
      <c r="C27" s="437"/>
      <c r="D27" s="438" t="s">
        <v>246</v>
      </c>
      <c r="E27" s="439"/>
      <c r="F27" s="440"/>
      <c r="G27" s="437"/>
      <c r="H27" s="438" t="s">
        <v>246</v>
      </c>
      <c r="I27" s="439"/>
      <c r="J27" s="440"/>
      <c r="K27" s="437"/>
      <c r="L27" s="438" t="s">
        <v>246</v>
      </c>
      <c r="M27" s="439"/>
      <c r="N27" s="440"/>
      <c r="O27" s="437"/>
      <c r="P27" s="438" t="s">
        <v>246</v>
      </c>
      <c r="Q27" s="439"/>
      <c r="R27" s="440"/>
      <c r="S27" s="437"/>
      <c r="T27" s="438" t="s">
        <v>246</v>
      </c>
      <c r="U27" s="439"/>
      <c r="V27" s="440"/>
      <c r="W27" s="441">
        <f t="shared" si="0"/>
        <v>0</v>
      </c>
      <c r="X27" s="442"/>
      <c r="Y27" s="437">
        <f t="shared" si="1"/>
        <v>0</v>
      </c>
      <c r="Z27" s="438" t="s">
        <v>246</v>
      </c>
      <c r="AA27" s="443">
        <f t="shared" si="2"/>
        <v>0</v>
      </c>
      <c r="AB27" s="444">
        <f t="shared" si="3"/>
        <v>0</v>
      </c>
      <c r="AC27" s="445"/>
      <c r="AD27" s="458">
        <f t="shared" si="4"/>
        <v>0</v>
      </c>
      <c r="AE27" s="459" t="str">
        <f>IFERROR(INDEX(V!R$7:R$58,MATCH(AF27,V!L$7:L$58,0)),"")</f>
        <v/>
      </c>
      <c r="AF27" s="460" t="str">
        <f t="shared" si="5"/>
        <v/>
      </c>
      <c r="AG27" s="459" t="str">
        <f>IFERROR(INDEX(V!R$7:R$58,MATCH(AH27,V!L$7:L$58,0)),"")</f>
        <v/>
      </c>
      <c r="AH27" s="460" t="str">
        <f t="shared" si="6"/>
        <v/>
      </c>
      <c r="AI27" s="459" t="str">
        <f>IFERROR(INDEX(V!R$7:R$58,MATCH(AJ27,V!L$7:L$58,0)),"")</f>
        <v/>
      </c>
      <c r="AJ27" s="460" t="str">
        <f t="shared" si="7"/>
        <v/>
      </c>
      <c r="AK27" s="459" t="str">
        <f>IFERROR(INDEX(V!R$7:R$58,MATCH(AL27,V!L$7:L$58,0)),"")</f>
        <v/>
      </c>
      <c r="AL27" s="460" t="str">
        <f t="shared" si="8"/>
        <v/>
      </c>
      <c r="AM27" s="403"/>
    </row>
    <row r="28" spans="1:39" x14ac:dyDescent="0.2">
      <c r="A28" s="435">
        <v>21</v>
      </c>
      <c r="B28" s="436"/>
      <c r="C28" s="437"/>
      <c r="D28" s="438" t="s">
        <v>246</v>
      </c>
      <c r="E28" s="439"/>
      <c r="F28" s="440"/>
      <c r="G28" s="437"/>
      <c r="H28" s="438" t="s">
        <v>246</v>
      </c>
      <c r="I28" s="439"/>
      <c r="J28" s="440"/>
      <c r="K28" s="437"/>
      <c r="L28" s="438" t="s">
        <v>246</v>
      </c>
      <c r="M28" s="439"/>
      <c r="N28" s="440"/>
      <c r="O28" s="437"/>
      <c r="P28" s="438" t="s">
        <v>246</v>
      </c>
      <c r="Q28" s="439"/>
      <c r="R28" s="440"/>
      <c r="S28" s="437"/>
      <c r="T28" s="438" t="s">
        <v>246</v>
      </c>
      <c r="U28" s="439"/>
      <c r="V28" s="440"/>
      <c r="W28" s="441">
        <f>IF(C28&gt;E28,J$3,IF(C28&lt;E28,J$5,IF(ISNUMBER(C28),J$4,0)))+IF(G28&gt;I28,J$3,IF(G28&lt;I28,J$5,IF(ISNUMBER(G28),J$4,0)))+IF(K28&gt;M28,J$3,IF(K28&lt;M28,J$5,IF(ISNUMBER(K28),J$4,0)))+IF(O28&gt;Q28,J$3,IF(O28&lt;Q28,J$5,IF(ISNUMBER(O28),J$4,0)))+IF(S28&gt;U28,J$3,IF(S28&lt;U28,J$5,IF(ISNUMBER(S28),J$4,0)))</f>
        <v>0</v>
      </c>
      <c r="X28" s="442"/>
      <c r="Y28" s="437">
        <f>C28+G28+K28+O28+S28</f>
        <v>0</v>
      </c>
      <c r="Z28" s="438" t="s">
        <v>246</v>
      </c>
      <c r="AA28" s="443">
        <f>E28+I28+M28+Q28+U28</f>
        <v>0</v>
      </c>
      <c r="AB28" s="444">
        <f>Y28-AA28</f>
        <v>0</v>
      </c>
      <c r="AC28" s="445"/>
      <c r="AD28" s="458">
        <f t="shared" si="4"/>
        <v>0</v>
      </c>
      <c r="AE28" s="459" t="str">
        <f>IFERROR(INDEX(V!R$7:R$58,MATCH(AF28,V!L$7:L$58,0)),"")</f>
        <v/>
      </c>
      <c r="AF28" s="460" t="str">
        <f t="shared" si="5"/>
        <v/>
      </c>
      <c r="AG28" s="459" t="str">
        <f>IFERROR(INDEX(V!R$7:R$58,MATCH(AH28,V!L$7:L$58,0)),"")</f>
        <v/>
      </c>
      <c r="AH28" s="460" t="str">
        <f t="shared" si="6"/>
        <v/>
      </c>
      <c r="AI28" s="459" t="str">
        <f>IFERROR(INDEX(V!R$7:R$58,MATCH(AJ28,V!L$7:L$58,0)),"")</f>
        <v/>
      </c>
      <c r="AJ28" s="460" t="str">
        <f t="shared" si="7"/>
        <v/>
      </c>
      <c r="AK28" s="459" t="str">
        <f>IFERROR(INDEX(V!R$7:R$58,MATCH(AL28,V!L$7:L$58,0)),"")</f>
        <v/>
      </c>
      <c r="AL28" s="460" t="str">
        <f t="shared" si="8"/>
        <v/>
      </c>
      <c r="AM28" s="403"/>
    </row>
    <row r="29" spans="1:39" x14ac:dyDescent="0.2">
      <c r="A29" s="435">
        <v>22</v>
      </c>
      <c r="B29" s="446"/>
      <c r="C29" s="437"/>
      <c r="D29" s="438" t="s">
        <v>246</v>
      </c>
      <c r="E29" s="439"/>
      <c r="F29" s="440"/>
      <c r="G29" s="437"/>
      <c r="H29" s="438" t="s">
        <v>246</v>
      </c>
      <c r="I29" s="439"/>
      <c r="J29" s="440"/>
      <c r="K29" s="437"/>
      <c r="L29" s="438" t="s">
        <v>246</v>
      </c>
      <c r="M29" s="439"/>
      <c r="N29" s="440"/>
      <c r="O29" s="437"/>
      <c r="P29" s="438" t="s">
        <v>246</v>
      </c>
      <c r="Q29" s="439"/>
      <c r="R29" s="440"/>
      <c r="S29" s="437"/>
      <c r="T29" s="438" t="s">
        <v>246</v>
      </c>
      <c r="U29" s="439"/>
      <c r="V29" s="440"/>
      <c r="W29" s="441">
        <f>IF(C29&gt;E29,J$3,IF(C29&lt;E29,J$5,IF(ISNUMBER(C29),J$4,0)))+IF(G29&gt;I29,J$3,IF(G29&lt;I29,J$5,IF(ISNUMBER(G29),J$4,0)))+IF(K29&gt;M29,J$3,IF(K29&lt;M29,J$5,IF(ISNUMBER(K29),J$4,0)))+IF(O29&gt;Q29,J$3,IF(O29&lt;Q29,J$5,IF(ISNUMBER(O29),J$4,0)))+IF(S29&gt;U29,J$3,IF(S29&lt;U29,J$5,IF(ISNUMBER(S29),J$4,0)))</f>
        <v>0</v>
      </c>
      <c r="X29" s="442"/>
      <c r="Y29" s="437">
        <f>C29+G29+K29+O29+S29</f>
        <v>0</v>
      </c>
      <c r="Z29" s="438" t="s">
        <v>246</v>
      </c>
      <c r="AA29" s="443">
        <f>E29+I29+M29+Q29+U29</f>
        <v>0</v>
      </c>
      <c r="AB29" s="444">
        <f>Y29-AA29</f>
        <v>0</v>
      </c>
      <c r="AC29" s="445"/>
      <c r="AD29" s="458">
        <f t="shared" si="4"/>
        <v>0</v>
      </c>
      <c r="AE29" s="459" t="str">
        <f>IFERROR(INDEX(V!R$7:R$58,MATCH(AF29,V!L$7:L$58,0)),"")</f>
        <v/>
      </c>
      <c r="AF29" s="460" t="str">
        <f t="shared" si="5"/>
        <v/>
      </c>
      <c r="AG29" s="459" t="str">
        <f>IFERROR(INDEX(V!R$7:R$58,MATCH(AH29,V!L$7:L$58,0)),"")</f>
        <v/>
      </c>
      <c r="AH29" s="460" t="str">
        <f t="shared" si="6"/>
        <v/>
      </c>
      <c r="AI29" s="459" t="str">
        <f>IFERROR(INDEX(V!R$7:R$58,MATCH(AJ29,V!L$7:L$58,0)),"")</f>
        <v/>
      </c>
      <c r="AJ29" s="460" t="str">
        <f t="shared" si="7"/>
        <v/>
      </c>
      <c r="AK29" s="459" t="str">
        <f>IFERROR(INDEX(V!R$7:R$58,MATCH(AL29,V!L$7:L$58,0)),"")</f>
        <v/>
      </c>
      <c r="AL29" s="460" t="str">
        <f t="shared" si="8"/>
        <v/>
      </c>
      <c r="AM29" s="403"/>
    </row>
    <row r="30" spans="1:39" x14ac:dyDescent="0.2">
      <c r="A30" s="435">
        <v>23</v>
      </c>
      <c r="B30" s="436"/>
      <c r="C30" s="437"/>
      <c r="D30" s="438" t="s">
        <v>246</v>
      </c>
      <c r="E30" s="439"/>
      <c r="F30" s="440"/>
      <c r="G30" s="437"/>
      <c r="H30" s="438" t="s">
        <v>246</v>
      </c>
      <c r="I30" s="439"/>
      <c r="J30" s="440"/>
      <c r="K30" s="437"/>
      <c r="L30" s="438" t="s">
        <v>246</v>
      </c>
      <c r="M30" s="439"/>
      <c r="N30" s="440"/>
      <c r="O30" s="437"/>
      <c r="P30" s="438" t="s">
        <v>246</v>
      </c>
      <c r="Q30" s="439"/>
      <c r="R30" s="440"/>
      <c r="S30" s="437"/>
      <c r="T30" s="438" t="s">
        <v>246</v>
      </c>
      <c r="U30" s="439"/>
      <c r="V30" s="440"/>
      <c r="W30" s="441">
        <f>IF(C30&gt;E30,J$3,IF(C30&lt;E30,J$5,IF(ISNUMBER(C30),J$4,0)))+IF(G30&gt;I30,J$3,IF(G30&lt;I30,J$5,IF(ISNUMBER(G30),J$4,0)))+IF(K30&gt;M30,J$3,IF(K30&lt;M30,J$5,IF(ISNUMBER(K30),J$4,0)))+IF(O30&gt;Q30,J$3,IF(O30&lt;Q30,J$5,IF(ISNUMBER(O30),J$4,0)))+IF(S30&gt;U30,J$3,IF(S30&lt;U30,J$5,IF(ISNUMBER(S30),J$4,0)))</f>
        <v>0</v>
      </c>
      <c r="X30" s="442"/>
      <c r="Y30" s="437">
        <f>C30+G30+K30+O30+S30</f>
        <v>0</v>
      </c>
      <c r="Z30" s="438" t="s">
        <v>246</v>
      </c>
      <c r="AA30" s="443">
        <f>E30+I30+M30+Q30+U30</f>
        <v>0</v>
      </c>
      <c r="AB30" s="444">
        <f>Y30-AA30</f>
        <v>0</v>
      </c>
      <c r="AC30" s="445"/>
      <c r="AD30" s="458">
        <f t="shared" si="4"/>
        <v>0</v>
      </c>
      <c r="AE30" s="459" t="str">
        <f>IFERROR(INDEX(V!R$7:R$58,MATCH(AF30,V!L$7:L$58,0)),"")</f>
        <v/>
      </c>
      <c r="AF30" s="460" t="str">
        <f t="shared" si="5"/>
        <v/>
      </c>
      <c r="AG30" s="459" t="str">
        <f>IFERROR(INDEX(V!R$7:R$58,MATCH(AH30,V!L$7:L$58,0)),"")</f>
        <v/>
      </c>
      <c r="AH30" s="460" t="str">
        <f t="shared" si="6"/>
        <v/>
      </c>
      <c r="AI30" s="459" t="str">
        <f>IFERROR(INDEX(V!R$7:R$58,MATCH(AJ30,V!L$7:L$58,0)),"")</f>
        <v/>
      </c>
      <c r="AJ30" s="460" t="str">
        <f t="shared" si="7"/>
        <v/>
      </c>
      <c r="AK30" s="459" t="str">
        <f>IFERROR(INDEX(V!R$7:R$58,MATCH(AL30,V!L$7:L$58,0)),"")</f>
        <v/>
      </c>
      <c r="AL30" s="460" t="str">
        <f t="shared" si="8"/>
        <v/>
      </c>
      <c r="AM30" s="403"/>
    </row>
    <row r="31" spans="1:39" x14ac:dyDescent="0.2">
      <c r="A31" s="435">
        <v>24</v>
      </c>
      <c r="B31" s="446"/>
      <c r="C31" s="437"/>
      <c r="D31" s="438" t="s">
        <v>246</v>
      </c>
      <c r="E31" s="439"/>
      <c r="F31" s="440"/>
      <c r="G31" s="437"/>
      <c r="H31" s="438" t="s">
        <v>246</v>
      </c>
      <c r="I31" s="439"/>
      <c r="J31" s="440"/>
      <c r="K31" s="437"/>
      <c r="L31" s="438" t="s">
        <v>246</v>
      </c>
      <c r="M31" s="439"/>
      <c r="N31" s="440"/>
      <c r="O31" s="437"/>
      <c r="P31" s="438" t="s">
        <v>246</v>
      </c>
      <c r="Q31" s="439"/>
      <c r="R31" s="440"/>
      <c r="S31" s="437"/>
      <c r="T31" s="438" t="s">
        <v>246</v>
      </c>
      <c r="U31" s="439"/>
      <c r="V31" s="440"/>
      <c r="W31" s="441">
        <f>IF(C31&gt;E31,J$3,IF(C31&lt;E31,J$5,IF(ISNUMBER(C31),J$4,0)))+IF(G31&gt;I31,J$3,IF(G31&lt;I31,J$5,IF(ISNUMBER(G31),J$4,0)))+IF(K31&gt;M31,J$3,IF(K31&lt;M31,J$5,IF(ISNUMBER(K31),J$4,0)))+IF(O31&gt;Q31,J$3,IF(O31&lt;Q31,J$5,IF(ISNUMBER(O31),J$4,0)))+IF(S31&gt;U31,J$3,IF(S31&lt;U31,J$5,IF(ISNUMBER(S31),J$4,0)))</f>
        <v>0</v>
      </c>
      <c r="X31" s="442"/>
      <c r="Y31" s="437">
        <f>C31+G31+K31+O31+S31</f>
        <v>0</v>
      </c>
      <c r="Z31" s="438" t="s">
        <v>246</v>
      </c>
      <c r="AA31" s="443">
        <f>E31+I31+M31+Q31+U31</f>
        <v>0</v>
      </c>
      <c r="AB31" s="444">
        <f>Y31-AA31</f>
        <v>0</v>
      </c>
      <c r="AC31" s="445"/>
      <c r="AD31" s="458">
        <f t="shared" si="4"/>
        <v>0</v>
      </c>
      <c r="AE31" s="459" t="str">
        <f>IFERROR(INDEX(V!R$7:R$58,MATCH(AF31,V!L$7:L$58,0)),"")</f>
        <v/>
      </c>
      <c r="AF31" s="460" t="str">
        <f t="shared" si="5"/>
        <v/>
      </c>
      <c r="AG31" s="459" t="str">
        <f>IFERROR(INDEX(V!R$7:R$58,MATCH(AH31,V!L$7:L$58,0)),"")</f>
        <v/>
      </c>
      <c r="AH31" s="460" t="str">
        <f t="shared" si="6"/>
        <v/>
      </c>
      <c r="AI31" s="459" t="str">
        <f>IFERROR(INDEX(V!R$7:R$58,MATCH(AJ31,V!L$7:L$58,0)),"")</f>
        <v/>
      </c>
      <c r="AJ31" s="460" t="str">
        <f t="shared" si="7"/>
        <v/>
      </c>
      <c r="AK31" s="459" t="str">
        <f>IFERROR(INDEX(V!R$7:R$58,MATCH(AL31,V!L$7:L$58,0)),"")</f>
        <v/>
      </c>
      <c r="AL31" s="460" t="str">
        <f t="shared" si="8"/>
        <v/>
      </c>
      <c r="AM31" s="403"/>
    </row>
    <row r="32" spans="1:39"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row>
    <row r="135" spans="1:39"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row>
    <row r="136" spans="1:39"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3"/>
    </row>
    <row r="137" spans="1:39"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c r="AG137" s="403"/>
      <c r="AH137" s="403"/>
      <c r="AI137" s="403"/>
      <c r="AJ137" s="403"/>
      <c r="AK137" s="403"/>
      <c r="AL137" s="403"/>
      <c r="AM137" s="403"/>
    </row>
    <row r="138" spans="1:39"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c r="AG138" s="403"/>
      <c r="AH138" s="403"/>
      <c r="AI138" s="403"/>
      <c r="AJ138" s="403"/>
      <c r="AK138" s="403"/>
      <c r="AL138" s="403"/>
      <c r="AM138" s="403"/>
    </row>
    <row r="139" spans="1:39"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c r="AG139" s="403"/>
      <c r="AH139" s="403"/>
      <c r="AI139" s="403"/>
      <c r="AJ139" s="403"/>
      <c r="AK139" s="403"/>
      <c r="AL139" s="403"/>
      <c r="AM139" s="403"/>
    </row>
    <row r="140" spans="1:39"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c r="AG140" s="403"/>
      <c r="AH140" s="403"/>
      <c r="AI140" s="403"/>
      <c r="AJ140" s="403"/>
      <c r="AK140" s="403"/>
      <c r="AL140" s="403"/>
      <c r="AM140" s="403"/>
    </row>
    <row r="141" spans="1:39" x14ac:dyDescent="0.2">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row>
    <row r="142" spans="1:39" x14ac:dyDescent="0.2">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c r="AA142" s="403"/>
      <c r="AB142" s="403"/>
      <c r="AC142" s="403"/>
      <c r="AD142" s="403"/>
      <c r="AE142" s="403"/>
      <c r="AF142" s="403"/>
      <c r="AG142" s="403"/>
      <c r="AH142" s="403"/>
      <c r="AI142" s="403"/>
      <c r="AJ142" s="403"/>
      <c r="AK142" s="403"/>
      <c r="AL142" s="403"/>
      <c r="AM142" s="403"/>
    </row>
    <row r="143" spans="1:39" x14ac:dyDescent="0.2">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row>
    <row r="144" spans="1:39" x14ac:dyDescent="0.2">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c r="AJ144" s="403"/>
      <c r="AK144" s="403"/>
      <c r="AL144" s="403"/>
      <c r="AM144" s="403"/>
    </row>
    <row r="145" spans="1:39" x14ac:dyDescent="0.2">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403"/>
      <c r="AE145" s="403"/>
      <c r="AF145" s="403"/>
      <c r="AG145" s="403"/>
      <c r="AH145" s="403"/>
      <c r="AI145" s="403"/>
      <c r="AJ145" s="403"/>
      <c r="AK145" s="403"/>
      <c r="AL145" s="403"/>
      <c r="AM145" s="403"/>
    </row>
    <row r="146" spans="1:39" x14ac:dyDescent="0.2">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c r="AA146" s="403"/>
      <c r="AB146" s="403"/>
      <c r="AC146" s="403"/>
      <c r="AD146" s="403"/>
      <c r="AE146" s="403"/>
      <c r="AF146" s="403"/>
      <c r="AG146" s="403"/>
      <c r="AH146" s="403"/>
      <c r="AI146" s="403"/>
      <c r="AJ146" s="403"/>
      <c r="AK146" s="403"/>
      <c r="AL146" s="403"/>
      <c r="AM146" s="403"/>
    </row>
    <row r="147" spans="1:39"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c r="AG150" s="403"/>
      <c r="AH150" s="403"/>
      <c r="AI150" s="403"/>
      <c r="AJ150" s="403"/>
      <c r="AK150" s="403"/>
      <c r="AL150" s="403"/>
      <c r="AM150" s="403"/>
    </row>
    <row r="151" spans="1:39"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03"/>
      <c r="AE151" s="403"/>
      <c r="AF151" s="403"/>
      <c r="AG151" s="403"/>
      <c r="AH151" s="403"/>
      <c r="AI151" s="403"/>
      <c r="AJ151" s="403"/>
      <c r="AK151" s="403"/>
      <c r="AL151" s="403"/>
      <c r="AM151" s="403"/>
    </row>
    <row r="152" spans="1:39"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03"/>
      <c r="AE152" s="403"/>
      <c r="AF152" s="403"/>
      <c r="AG152" s="403"/>
      <c r="AH152" s="403"/>
      <c r="AI152" s="403"/>
      <c r="AJ152" s="403"/>
      <c r="AK152" s="403"/>
      <c r="AL152" s="403"/>
      <c r="AM152" s="403"/>
    </row>
    <row r="153" spans="1:39"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c r="AD153" s="403"/>
      <c r="AE153" s="403"/>
      <c r="AF153" s="403"/>
      <c r="AG153" s="403"/>
      <c r="AH153" s="403"/>
      <c r="AI153" s="403"/>
      <c r="AJ153" s="403"/>
      <c r="AK153" s="403"/>
      <c r="AL153" s="403"/>
      <c r="AM153" s="403"/>
    </row>
    <row r="154" spans="1:39" x14ac:dyDescent="0.2">
      <c r="A154" s="403"/>
      <c r="B154" s="403"/>
      <c r="C154" s="403"/>
      <c r="D154" s="403"/>
      <c r="E154" s="403"/>
      <c r="F154" s="403"/>
      <c r="G154" s="403"/>
      <c r="H154" s="403"/>
      <c r="I154" s="403"/>
      <c r="J154" s="403"/>
      <c r="K154" s="403"/>
      <c r="L154" s="407"/>
      <c r="M154" s="407"/>
      <c r="N154" s="407"/>
      <c r="O154" s="403"/>
      <c r="P154" s="403"/>
      <c r="Q154" s="403"/>
      <c r="R154" s="403"/>
      <c r="S154" s="403"/>
      <c r="T154" s="407"/>
      <c r="U154" s="407"/>
      <c r="V154" s="407"/>
      <c r="W154" s="403"/>
      <c r="X154" s="403"/>
      <c r="Y154" s="403"/>
      <c r="Z154" s="403"/>
      <c r="AA154" s="403"/>
      <c r="AB154" s="403"/>
      <c r="AC154" s="403"/>
      <c r="AD154" s="403"/>
      <c r="AE154" s="403"/>
      <c r="AF154" s="403"/>
      <c r="AG154" s="403"/>
      <c r="AH154" s="403"/>
      <c r="AI154" s="403"/>
      <c r="AJ154" s="403"/>
      <c r="AK154" s="403"/>
      <c r="AL154" s="403"/>
      <c r="AM154" s="403"/>
    </row>
    <row r="155" spans="1:39" x14ac:dyDescent="0.2">
      <c r="A155" s="403"/>
      <c r="B155" s="403"/>
      <c r="C155" s="403"/>
      <c r="D155" s="403"/>
      <c r="E155" s="403"/>
      <c r="F155" s="403"/>
      <c r="G155" s="403"/>
      <c r="H155" s="403"/>
      <c r="I155" s="403"/>
      <c r="J155" s="403"/>
      <c r="K155" s="403"/>
      <c r="L155" s="407"/>
      <c r="M155" s="407"/>
      <c r="N155" s="407"/>
      <c r="O155" s="403"/>
      <c r="P155" s="403"/>
      <c r="Q155" s="403"/>
      <c r="R155" s="403"/>
      <c r="S155" s="403"/>
      <c r="T155" s="407"/>
      <c r="U155" s="407"/>
      <c r="V155" s="407"/>
      <c r="W155" s="403"/>
      <c r="X155" s="403"/>
      <c r="Y155" s="403"/>
      <c r="Z155" s="403"/>
      <c r="AA155" s="403"/>
      <c r="AB155" s="403"/>
      <c r="AC155" s="403"/>
      <c r="AD155" s="403"/>
      <c r="AE155" s="403"/>
      <c r="AF155" s="403"/>
      <c r="AG155" s="403"/>
      <c r="AH155" s="403"/>
      <c r="AI155" s="403"/>
      <c r="AJ155" s="403"/>
      <c r="AK155" s="403"/>
      <c r="AL155" s="403"/>
      <c r="AM155" s="403"/>
    </row>
    <row r="156" spans="1:39" x14ac:dyDescent="0.2">
      <c r="A156" s="403"/>
      <c r="B156" s="403"/>
      <c r="C156" s="403"/>
      <c r="D156" s="403"/>
      <c r="E156" s="403"/>
      <c r="F156" s="403"/>
      <c r="G156" s="403"/>
      <c r="H156" s="403"/>
      <c r="I156" s="403"/>
      <c r="J156" s="403"/>
      <c r="K156" s="403"/>
      <c r="L156" s="407"/>
      <c r="M156" s="407"/>
      <c r="N156" s="407"/>
      <c r="O156" s="403"/>
      <c r="P156" s="403"/>
      <c r="Q156" s="403"/>
      <c r="R156" s="403"/>
      <c r="S156" s="403"/>
      <c r="T156" s="407"/>
      <c r="U156" s="407"/>
      <c r="V156" s="407"/>
      <c r="W156" s="403"/>
      <c r="X156" s="403"/>
      <c r="Y156" s="403"/>
      <c r="Z156" s="403"/>
      <c r="AA156" s="403"/>
      <c r="AB156" s="403"/>
      <c r="AC156" s="403"/>
      <c r="AD156" s="403"/>
      <c r="AE156" s="403"/>
      <c r="AF156" s="403"/>
      <c r="AG156" s="403"/>
      <c r="AH156" s="403"/>
      <c r="AI156" s="403"/>
      <c r="AJ156" s="403"/>
      <c r="AK156" s="403"/>
      <c r="AL156" s="403"/>
      <c r="AM156" s="403"/>
    </row>
    <row r="157" spans="1:39" x14ac:dyDescent="0.2">
      <c r="A157" s="403"/>
      <c r="B157" s="403"/>
      <c r="C157" s="403"/>
      <c r="D157" s="403"/>
      <c r="E157" s="403"/>
      <c r="F157" s="403"/>
      <c r="G157" s="403"/>
      <c r="H157" s="403"/>
      <c r="I157" s="403"/>
      <c r="J157" s="403"/>
      <c r="K157" s="403"/>
      <c r="L157" s="407"/>
      <c r="M157" s="407"/>
      <c r="N157" s="407"/>
      <c r="O157" s="403"/>
      <c r="P157" s="403"/>
      <c r="Q157" s="403"/>
      <c r="R157" s="403"/>
      <c r="S157" s="403"/>
      <c r="T157" s="407"/>
      <c r="U157" s="407"/>
      <c r="V157" s="407"/>
      <c r="W157" s="403"/>
      <c r="X157" s="403"/>
      <c r="Y157" s="403"/>
      <c r="Z157" s="403"/>
      <c r="AA157" s="403"/>
      <c r="AB157" s="403"/>
      <c r="AC157" s="403"/>
      <c r="AD157" s="403"/>
      <c r="AE157" s="403"/>
      <c r="AF157" s="403"/>
      <c r="AG157" s="403"/>
      <c r="AH157" s="403"/>
      <c r="AI157" s="403"/>
      <c r="AJ157" s="403"/>
      <c r="AK157" s="403"/>
      <c r="AL157" s="403"/>
      <c r="AM157" s="403"/>
    </row>
    <row r="158" spans="1:39" x14ac:dyDescent="0.2">
      <c r="A158" s="403"/>
      <c r="B158" s="403"/>
      <c r="C158" s="403"/>
      <c r="D158" s="403"/>
      <c r="E158" s="403"/>
      <c r="F158" s="403"/>
      <c r="G158" s="403"/>
      <c r="H158" s="403"/>
      <c r="I158" s="403"/>
      <c r="J158" s="403"/>
      <c r="K158" s="403"/>
      <c r="L158" s="407"/>
      <c r="M158" s="407"/>
      <c r="N158" s="407"/>
      <c r="O158" s="403"/>
      <c r="P158" s="403"/>
      <c r="Q158" s="403"/>
      <c r="R158" s="403"/>
      <c r="S158" s="403"/>
      <c r="T158" s="407"/>
      <c r="U158" s="407"/>
      <c r="V158" s="407"/>
      <c r="W158" s="403"/>
      <c r="X158" s="403"/>
      <c r="Y158" s="403"/>
      <c r="Z158" s="403"/>
      <c r="AA158" s="403"/>
      <c r="AB158" s="403"/>
      <c r="AC158" s="403"/>
      <c r="AD158" s="403"/>
      <c r="AE158" s="403"/>
      <c r="AF158" s="403"/>
      <c r="AG158" s="403"/>
      <c r="AH158" s="403"/>
      <c r="AI158" s="403"/>
      <c r="AJ158" s="403"/>
      <c r="AK158" s="403"/>
      <c r="AL158" s="403"/>
      <c r="AM158" s="403"/>
    </row>
    <row r="159" spans="1:39" x14ac:dyDescent="0.2">
      <c r="A159" s="403"/>
      <c r="B159" s="403"/>
      <c r="C159" s="403"/>
      <c r="D159" s="403"/>
      <c r="E159" s="403"/>
      <c r="F159" s="403"/>
      <c r="G159" s="403"/>
      <c r="H159" s="403"/>
      <c r="I159" s="403"/>
      <c r="J159" s="403"/>
      <c r="K159" s="403"/>
      <c r="L159" s="407"/>
      <c r="M159" s="407"/>
      <c r="N159" s="407"/>
      <c r="O159" s="403"/>
      <c r="P159" s="403"/>
      <c r="Q159" s="403"/>
      <c r="R159" s="403"/>
      <c r="S159" s="403"/>
      <c r="T159" s="407"/>
      <c r="U159" s="407"/>
      <c r="V159" s="407"/>
      <c r="W159" s="403"/>
      <c r="X159" s="403"/>
      <c r="Y159" s="403"/>
      <c r="Z159" s="403"/>
      <c r="AA159" s="403"/>
      <c r="AB159" s="403"/>
      <c r="AC159" s="403"/>
      <c r="AD159" s="403"/>
      <c r="AE159" s="403"/>
      <c r="AF159" s="403"/>
      <c r="AG159" s="403"/>
      <c r="AH159" s="403"/>
      <c r="AI159" s="403"/>
      <c r="AJ159" s="403"/>
      <c r="AK159" s="403"/>
      <c r="AL159" s="403"/>
      <c r="AM159" s="403"/>
    </row>
    <row r="160" spans="1:39" x14ac:dyDescent="0.2">
      <c r="A160" s="403"/>
      <c r="B160" s="403"/>
      <c r="C160" s="403"/>
      <c r="D160" s="403"/>
      <c r="E160" s="403"/>
      <c r="F160" s="403"/>
      <c r="G160" s="403"/>
      <c r="H160" s="403"/>
      <c r="I160" s="403"/>
      <c r="J160" s="403"/>
      <c r="K160" s="403"/>
      <c r="L160" s="407"/>
      <c r="M160" s="407"/>
      <c r="N160" s="407"/>
      <c r="O160" s="403"/>
      <c r="P160" s="403"/>
      <c r="Q160" s="403"/>
      <c r="R160" s="403"/>
      <c r="S160" s="403"/>
      <c r="T160" s="407"/>
      <c r="U160" s="407"/>
      <c r="V160" s="407"/>
      <c r="W160" s="403"/>
      <c r="X160" s="403"/>
      <c r="Y160" s="403"/>
      <c r="Z160" s="403"/>
      <c r="AA160" s="403"/>
      <c r="AB160" s="403"/>
      <c r="AC160" s="403"/>
      <c r="AD160" s="403"/>
      <c r="AE160" s="403"/>
      <c r="AF160" s="403"/>
      <c r="AG160" s="403"/>
      <c r="AH160" s="403"/>
      <c r="AI160" s="403"/>
      <c r="AJ160" s="403"/>
      <c r="AK160" s="403"/>
      <c r="AL160" s="403"/>
      <c r="AM160" s="403"/>
    </row>
    <row r="161" spans="1:39" x14ac:dyDescent="0.2">
      <c r="A161" s="403"/>
      <c r="B161" s="403"/>
      <c r="C161" s="403"/>
      <c r="D161" s="403"/>
      <c r="E161" s="403"/>
      <c r="F161" s="403"/>
      <c r="G161" s="403"/>
      <c r="H161" s="403"/>
      <c r="I161" s="403"/>
      <c r="J161" s="403"/>
      <c r="K161" s="403"/>
      <c r="L161" s="407"/>
      <c r="M161" s="407"/>
      <c r="N161" s="407"/>
      <c r="O161" s="403"/>
      <c r="P161" s="403"/>
      <c r="Q161" s="403"/>
      <c r="R161" s="403"/>
      <c r="S161" s="403"/>
      <c r="T161" s="407"/>
      <c r="U161" s="407"/>
      <c r="V161" s="407"/>
      <c r="W161" s="403"/>
      <c r="X161" s="403"/>
      <c r="Y161" s="403"/>
      <c r="Z161" s="403"/>
      <c r="AA161" s="403"/>
      <c r="AB161" s="403"/>
      <c r="AC161" s="403"/>
      <c r="AD161" s="403"/>
      <c r="AE161" s="403"/>
      <c r="AF161" s="403"/>
      <c r="AG161" s="403"/>
      <c r="AH161" s="403"/>
      <c r="AI161" s="403"/>
      <c r="AJ161" s="403"/>
      <c r="AK161" s="403"/>
      <c r="AL161" s="403"/>
      <c r="AM161" s="403"/>
    </row>
    <row r="162" spans="1:39" x14ac:dyDescent="0.2">
      <c r="A162" s="403"/>
      <c r="B162" s="403"/>
      <c r="C162" s="403"/>
      <c r="D162" s="403"/>
      <c r="E162" s="403"/>
      <c r="F162" s="403"/>
      <c r="G162" s="403"/>
      <c r="H162" s="403"/>
      <c r="I162" s="403"/>
      <c r="J162" s="403"/>
      <c r="K162" s="403"/>
      <c r="L162" s="407"/>
      <c r="M162" s="407"/>
      <c r="N162" s="407"/>
      <c r="O162" s="403"/>
      <c r="P162" s="403"/>
      <c r="Q162" s="403"/>
      <c r="R162" s="403"/>
      <c r="S162" s="403"/>
      <c r="T162" s="407"/>
      <c r="U162" s="407"/>
      <c r="V162" s="407"/>
      <c r="W162" s="403"/>
      <c r="X162" s="403"/>
      <c r="Y162" s="403"/>
      <c r="Z162" s="403"/>
      <c r="AA162" s="403"/>
      <c r="AB162" s="403"/>
      <c r="AC162" s="403"/>
      <c r="AD162" s="403"/>
      <c r="AE162" s="403"/>
      <c r="AF162" s="403"/>
      <c r="AG162" s="403"/>
      <c r="AH162" s="403"/>
      <c r="AI162" s="403"/>
      <c r="AJ162" s="403"/>
      <c r="AK162" s="403"/>
      <c r="AL162" s="403"/>
      <c r="AM162" s="403"/>
    </row>
    <row r="163" spans="1:39"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row>
    <row r="164" spans="1:39"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row>
    <row r="165" spans="1:39"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03"/>
    </row>
    <row r="166" spans="1:39"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row>
    <row r="167" spans="1:39"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c r="AG167" s="403"/>
      <c r="AH167" s="403"/>
      <c r="AI167" s="403"/>
      <c r="AJ167" s="403"/>
      <c r="AK167" s="403"/>
      <c r="AL167" s="403"/>
      <c r="AM167" s="403"/>
    </row>
    <row r="168" spans="1:39"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c r="AG168" s="403"/>
      <c r="AH168" s="403"/>
      <c r="AI168" s="403"/>
      <c r="AJ168" s="403"/>
      <c r="AK168" s="403"/>
      <c r="AL168" s="403"/>
      <c r="AM168" s="403"/>
    </row>
    <row r="169" spans="1:39"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row>
    <row r="170" spans="1:39" x14ac:dyDescent="0.2">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row>
    <row r="171" spans="1:39" x14ac:dyDescent="0.2">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c r="AA171" s="403"/>
      <c r="AB171" s="403"/>
      <c r="AC171" s="403"/>
      <c r="AD171" s="403"/>
      <c r="AE171" s="403"/>
      <c r="AF171" s="403"/>
      <c r="AG171" s="403"/>
      <c r="AH171" s="403"/>
      <c r="AI171" s="403"/>
      <c r="AJ171" s="403"/>
      <c r="AK171" s="403"/>
      <c r="AL171" s="403"/>
      <c r="AM171" s="403"/>
    </row>
    <row r="172" spans="1:39" x14ac:dyDescent="0.2">
      <c r="A172" s="403"/>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3"/>
      <c r="AL172" s="403"/>
      <c r="AM172" s="403"/>
    </row>
    <row r="173" spans="1:39" x14ac:dyDescent="0.2">
      <c r="A173" s="403"/>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c r="AA173" s="403"/>
      <c r="AB173" s="403"/>
      <c r="AC173" s="403"/>
      <c r="AD173" s="403"/>
      <c r="AE173" s="403"/>
      <c r="AF173" s="403"/>
      <c r="AG173" s="403"/>
      <c r="AH173" s="403"/>
      <c r="AI173" s="403"/>
      <c r="AJ173" s="403"/>
      <c r="AK173" s="403"/>
      <c r="AL173" s="403"/>
      <c r="AM173" s="403"/>
    </row>
    <row r="174" spans="1:39" x14ac:dyDescent="0.2">
      <c r="A174" s="403"/>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c r="AA174" s="403"/>
      <c r="AB174" s="403"/>
      <c r="AC174" s="403"/>
      <c r="AD174" s="403"/>
      <c r="AE174" s="403"/>
      <c r="AF174" s="403"/>
      <c r="AG174" s="403"/>
      <c r="AH174" s="403"/>
      <c r="AI174" s="403"/>
      <c r="AJ174" s="403"/>
      <c r="AK174" s="403"/>
      <c r="AL174" s="403"/>
      <c r="AM174" s="403"/>
    </row>
    <row r="175" spans="1:39" x14ac:dyDescent="0.2">
      <c r="A175" s="403"/>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row>
    <row r="176" spans="1:39"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c r="AG286" s="403"/>
      <c r="AH286" s="403"/>
      <c r="AI286" s="403"/>
      <c r="AJ286" s="403"/>
      <c r="AK286" s="403"/>
      <c r="AL286" s="403"/>
      <c r="AM286" s="403"/>
    </row>
    <row r="287" spans="1:39"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03"/>
      <c r="AE287" s="403"/>
      <c r="AF287" s="403"/>
      <c r="AG287" s="403"/>
      <c r="AH287" s="403"/>
      <c r="AI287" s="403"/>
      <c r="AJ287" s="403"/>
      <c r="AK287" s="403"/>
      <c r="AL287" s="403"/>
      <c r="AM287" s="403"/>
    </row>
    <row r="288" spans="1:39"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03"/>
      <c r="AE288" s="403"/>
      <c r="AF288" s="403"/>
      <c r="AG288" s="403"/>
      <c r="AH288" s="403"/>
      <c r="AI288" s="403"/>
      <c r="AJ288" s="403"/>
      <c r="AK288" s="403"/>
      <c r="AL288" s="403"/>
      <c r="AM288" s="403"/>
    </row>
    <row r="289" spans="1:39"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c r="AD289" s="403"/>
      <c r="AE289" s="403"/>
      <c r="AF289" s="403"/>
      <c r="AG289" s="403"/>
      <c r="AH289" s="403"/>
      <c r="AI289" s="403"/>
      <c r="AJ289" s="403"/>
      <c r="AK289" s="403"/>
      <c r="AL289" s="403"/>
      <c r="AM289" s="403"/>
    </row>
    <row r="290" spans="1:39" x14ac:dyDescent="0.2">
      <c r="A290" s="403"/>
      <c r="B290" s="403"/>
      <c r="C290" s="403"/>
      <c r="D290" s="403"/>
      <c r="E290" s="403"/>
      <c r="F290" s="403"/>
      <c r="G290" s="403"/>
      <c r="H290" s="403"/>
      <c r="I290" s="403"/>
      <c r="J290" s="403"/>
      <c r="K290" s="403"/>
      <c r="L290" s="407"/>
      <c r="M290" s="407"/>
      <c r="N290" s="407"/>
      <c r="O290" s="403"/>
      <c r="P290" s="403"/>
      <c r="Q290" s="403"/>
      <c r="R290" s="403"/>
      <c r="S290" s="403"/>
      <c r="T290" s="407"/>
      <c r="U290" s="407"/>
      <c r="V290" s="407"/>
      <c r="W290" s="403"/>
      <c r="X290" s="403"/>
      <c r="Y290" s="403"/>
      <c r="Z290" s="403"/>
      <c r="AA290" s="403"/>
      <c r="AB290" s="403"/>
      <c r="AC290" s="403"/>
      <c r="AD290" s="403"/>
      <c r="AE290" s="403"/>
      <c r="AF290" s="403"/>
      <c r="AG290" s="403"/>
      <c r="AH290" s="403"/>
      <c r="AI290" s="403"/>
      <c r="AJ290" s="403"/>
      <c r="AK290" s="403"/>
      <c r="AL290" s="403"/>
      <c r="AM290" s="403"/>
    </row>
    <row r="291" spans="1:39" x14ac:dyDescent="0.2">
      <c r="A291" s="403"/>
      <c r="B291" s="403"/>
      <c r="C291" s="403"/>
      <c r="D291" s="403"/>
      <c r="E291" s="403"/>
      <c r="F291" s="403"/>
      <c r="G291" s="403"/>
      <c r="H291" s="403"/>
      <c r="I291" s="403"/>
      <c r="J291" s="403"/>
      <c r="K291" s="403"/>
      <c r="L291" s="407"/>
      <c r="M291" s="407"/>
      <c r="N291" s="407"/>
      <c r="O291" s="403"/>
      <c r="P291" s="403"/>
      <c r="Q291" s="403"/>
      <c r="R291" s="403"/>
      <c r="S291" s="403"/>
      <c r="T291" s="407"/>
      <c r="U291" s="407"/>
      <c r="V291" s="407"/>
      <c r="W291" s="403"/>
      <c r="X291" s="403"/>
      <c r="Y291" s="403"/>
      <c r="Z291" s="403"/>
      <c r="AA291" s="403"/>
      <c r="AB291" s="403"/>
      <c r="AC291" s="403"/>
      <c r="AD291" s="403"/>
      <c r="AE291" s="403"/>
      <c r="AF291" s="403"/>
      <c r="AG291" s="403"/>
      <c r="AH291" s="403"/>
      <c r="AI291" s="403"/>
      <c r="AJ291" s="403"/>
      <c r="AK291" s="403"/>
      <c r="AL291" s="403"/>
      <c r="AM291" s="403"/>
    </row>
    <row r="292" spans="1:39" x14ac:dyDescent="0.2">
      <c r="A292" s="403"/>
      <c r="B292" s="403"/>
      <c r="C292" s="403"/>
      <c r="D292" s="403"/>
      <c r="E292" s="403"/>
      <c r="F292" s="403"/>
      <c r="G292" s="403"/>
      <c r="H292" s="403"/>
      <c r="I292" s="403"/>
      <c r="J292" s="403"/>
      <c r="K292" s="403"/>
      <c r="L292" s="407"/>
      <c r="M292" s="407"/>
      <c r="N292" s="407"/>
      <c r="O292" s="403"/>
      <c r="P292" s="403"/>
      <c r="Q292" s="403"/>
      <c r="R292" s="403"/>
      <c r="S292" s="403"/>
      <c r="T292" s="407"/>
      <c r="U292" s="407"/>
      <c r="V292" s="407"/>
      <c r="W292" s="403"/>
      <c r="X292" s="403"/>
      <c r="Y292" s="403"/>
      <c r="Z292" s="403"/>
      <c r="AA292" s="403"/>
      <c r="AB292" s="403"/>
      <c r="AC292" s="403"/>
      <c r="AD292" s="403"/>
      <c r="AE292" s="403"/>
      <c r="AF292" s="403"/>
      <c r="AG292" s="403"/>
      <c r="AH292" s="403"/>
      <c r="AI292" s="403"/>
      <c r="AJ292" s="403"/>
      <c r="AK292" s="403"/>
      <c r="AL292" s="403"/>
      <c r="AM292" s="403"/>
    </row>
    <row r="293" spans="1:39" x14ac:dyDescent="0.2">
      <c r="A293" s="403"/>
      <c r="B293" s="403"/>
      <c r="C293" s="403"/>
      <c r="D293" s="403"/>
      <c r="E293" s="403"/>
      <c r="F293" s="403"/>
      <c r="G293" s="403"/>
      <c r="H293" s="403"/>
      <c r="I293" s="403"/>
      <c r="J293" s="403"/>
      <c r="K293" s="403"/>
      <c r="L293" s="407"/>
      <c r="M293" s="407"/>
      <c r="N293" s="407"/>
      <c r="O293" s="403"/>
      <c r="P293" s="403"/>
      <c r="Q293" s="403"/>
      <c r="R293" s="403"/>
      <c r="S293" s="403"/>
      <c r="T293" s="407"/>
      <c r="U293" s="407"/>
      <c r="V293" s="407"/>
      <c r="W293" s="403"/>
      <c r="X293" s="403"/>
      <c r="Y293" s="403"/>
      <c r="Z293" s="403"/>
      <c r="AA293" s="403"/>
      <c r="AB293" s="403"/>
      <c r="AC293" s="403"/>
      <c r="AD293" s="403"/>
      <c r="AE293" s="403"/>
      <c r="AF293" s="403"/>
      <c r="AG293" s="403"/>
      <c r="AH293" s="403"/>
      <c r="AI293" s="403"/>
      <c r="AJ293" s="403"/>
      <c r="AK293" s="403"/>
      <c r="AL293" s="403"/>
      <c r="AM293" s="403"/>
    </row>
    <row r="294" spans="1:39" x14ac:dyDescent="0.2">
      <c r="A294" s="403"/>
      <c r="B294" s="403"/>
      <c r="C294" s="403"/>
      <c r="D294" s="403"/>
      <c r="E294" s="403"/>
      <c r="F294" s="403"/>
      <c r="G294" s="403"/>
      <c r="H294" s="403"/>
      <c r="I294" s="403"/>
      <c r="J294" s="403"/>
      <c r="K294" s="403"/>
      <c r="L294" s="407"/>
      <c r="M294" s="407"/>
      <c r="N294" s="407"/>
      <c r="O294" s="403"/>
      <c r="P294" s="403"/>
      <c r="Q294" s="403"/>
      <c r="R294" s="403"/>
      <c r="S294" s="403"/>
      <c r="T294" s="407"/>
      <c r="U294" s="407"/>
      <c r="V294" s="407"/>
      <c r="W294" s="403"/>
      <c r="X294" s="403"/>
      <c r="Y294" s="403"/>
      <c r="Z294" s="403"/>
      <c r="AA294" s="403"/>
      <c r="AB294" s="403"/>
      <c r="AC294" s="403"/>
      <c r="AD294" s="403"/>
      <c r="AE294" s="403"/>
      <c r="AF294" s="403"/>
      <c r="AG294" s="403"/>
      <c r="AH294" s="403"/>
      <c r="AI294" s="403"/>
      <c r="AJ294" s="403"/>
      <c r="AK294" s="403"/>
      <c r="AL294" s="403"/>
      <c r="AM294" s="403"/>
    </row>
    <row r="295" spans="1:39" x14ac:dyDescent="0.2">
      <c r="A295" s="403"/>
      <c r="B295" s="403"/>
      <c r="C295" s="403"/>
      <c r="D295" s="403"/>
      <c r="E295" s="403"/>
      <c r="F295" s="403"/>
      <c r="G295" s="403"/>
      <c r="H295" s="403"/>
      <c r="I295" s="403"/>
      <c r="J295" s="403"/>
      <c r="K295" s="403"/>
      <c r="L295" s="407"/>
      <c r="M295" s="407"/>
      <c r="N295" s="407"/>
      <c r="O295" s="403"/>
      <c r="P295" s="403"/>
      <c r="Q295" s="403"/>
      <c r="R295" s="403"/>
      <c r="S295" s="403"/>
      <c r="T295" s="407"/>
      <c r="U295" s="407"/>
      <c r="V295" s="407"/>
      <c r="W295" s="403"/>
      <c r="X295" s="403"/>
      <c r="Y295" s="403"/>
      <c r="Z295" s="403"/>
      <c r="AA295" s="403"/>
      <c r="AB295" s="403"/>
      <c r="AC295" s="403"/>
      <c r="AD295" s="403"/>
      <c r="AE295" s="403"/>
      <c r="AF295" s="403"/>
      <c r="AG295" s="403"/>
      <c r="AH295" s="403"/>
      <c r="AI295" s="403"/>
      <c r="AJ295" s="403"/>
      <c r="AK295" s="403"/>
      <c r="AL295" s="403"/>
      <c r="AM295" s="403"/>
    </row>
    <row r="296" spans="1:39" x14ac:dyDescent="0.2">
      <c r="A296" s="403"/>
      <c r="B296" s="403"/>
      <c r="C296" s="403"/>
      <c r="D296" s="403"/>
      <c r="E296" s="403"/>
      <c r="F296" s="403"/>
      <c r="G296" s="403"/>
      <c r="H296" s="403"/>
      <c r="I296" s="403"/>
      <c r="J296" s="403"/>
      <c r="K296" s="403"/>
      <c r="L296" s="407"/>
      <c r="M296" s="407"/>
      <c r="N296" s="407"/>
      <c r="O296" s="403"/>
      <c r="P296" s="403"/>
      <c r="Q296" s="403"/>
      <c r="R296" s="403"/>
      <c r="S296" s="403"/>
      <c r="T296" s="407"/>
      <c r="U296" s="407"/>
      <c r="V296" s="407"/>
      <c r="W296" s="403"/>
      <c r="X296" s="403"/>
      <c r="Y296" s="403"/>
      <c r="Z296" s="403"/>
      <c r="AA296" s="403"/>
      <c r="AB296" s="403"/>
      <c r="AC296" s="403"/>
      <c r="AD296" s="403"/>
      <c r="AE296" s="403"/>
      <c r="AF296" s="403"/>
      <c r="AG296" s="403"/>
      <c r="AH296" s="403"/>
      <c r="AI296" s="403"/>
      <c r="AJ296" s="403"/>
      <c r="AK296" s="403"/>
      <c r="AL296" s="403"/>
      <c r="AM296" s="403"/>
    </row>
    <row r="297" spans="1:39" x14ac:dyDescent="0.2">
      <c r="A297" s="403"/>
      <c r="B297" s="403"/>
      <c r="C297" s="403"/>
      <c r="D297" s="403"/>
      <c r="E297" s="403"/>
      <c r="F297" s="403"/>
      <c r="G297" s="403"/>
      <c r="H297" s="403"/>
      <c r="I297" s="403"/>
      <c r="J297" s="403"/>
      <c r="K297" s="403"/>
      <c r="L297" s="407"/>
      <c r="M297" s="407"/>
      <c r="N297" s="407"/>
      <c r="O297" s="403"/>
      <c r="P297" s="403"/>
      <c r="Q297" s="403"/>
      <c r="R297" s="403"/>
      <c r="S297" s="403"/>
      <c r="T297" s="407"/>
      <c r="U297" s="407"/>
      <c r="V297" s="407"/>
      <c r="W297" s="403"/>
      <c r="X297" s="403"/>
      <c r="Y297" s="403"/>
      <c r="Z297" s="403"/>
      <c r="AA297" s="403"/>
      <c r="AB297" s="403"/>
      <c r="AC297" s="403"/>
      <c r="AD297" s="403"/>
      <c r="AE297" s="403"/>
      <c r="AF297" s="403"/>
      <c r="AG297" s="403"/>
      <c r="AH297" s="403"/>
      <c r="AI297" s="403"/>
      <c r="AJ297" s="403"/>
      <c r="AK297" s="403"/>
      <c r="AL297" s="403"/>
      <c r="AM297" s="403"/>
    </row>
    <row r="298" spans="1:39" x14ac:dyDescent="0.2">
      <c r="A298" s="403"/>
      <c r="B298" s="403"/>
      <c r="C298" s="403"/>
      <c r="D298" s="403"/>
      <c r="E298" s="403"/>
      <c r="F298" s="403"/>
      <c r="G298" s="403"/>
      <c r="H298" s="403"/>
      <c r="I298" s="403"/>
      <c r="J298" s="403"/>
      <c r="K298" s="403"/>
      <c r="L298" s="407"/>
      <c r="M298" s="407"/>
      <c r="N298" s="407"/>
      <c r="O298" s="403"/>
      <c r="P298" s="403"/>
      <c r="Q298" s="403"/>
      <c r="R298" s="403"/>
      <c r="S298" s="403"/>
      <c r="T298" s="407"/>
      <c r="U298" s="407"/>
      <c r="V298" s="407"/>
      <c r="W298" s="403"/>
      <c r="X298" s="403"/>
      <c r="Y298" s="403"/>
      <c r="Z298" s="403"/>
      <c r="AA298" s="403"/>
      <c r="AB298" s="403"/>
      <c r="AC298" s="403"/>
      <c r="AD298" s="403"/>
      <c r="AE298" s="403"/>
      <c r="AF298" s="403"/>
      <c r="AG298" s="403"/>
      <c r="AH298" s="403"/>
      <c r="AI298" s="403"/>
      <c r="AJ298" s="403"/>
      <c r="AK298" s="403"/>
      <c r="AL298" s="403"/>
      <c r="AM298" s="403"/>
    </row>
    <row r="299" spans="1:39" x14ac:dyDescent="0.2">
      <c r="A299" s="403"/>
      <c r="B299" s="403"/>
      <c r="C299" s="447" t="s">
        <v>69</v>
      </c>
      <c r="D299" s="448"/>
      <c r="E299" s="448"/>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f>IFERROR(INDEX(B$1:B$100,MATCH(A300,A$1:A$100,0)),"")</f>
        <v>0</v>
      </c>
      <c r="C300" s="451">
        <f>IF(21-A300&gt;0,IF(OR(A300=A301,A299=A300),21-A300-0.5,21-A300),1)</f>
        <v>20</v>
      </c>
      <c r="D300" s="452"/>
      <c r="E300" s="452"/>
      <c r="F300" s="403"/>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row>
    <row r="301" spans="1:39" x14ac:dyDescent="0.2">
      <c r="A301" s="449">
        <v>2</v>
      </c>
      <c r="B301" s="450">
        <f t="shared" ref="B301:B323" si="9">IFERROR(INDEX(B$1:B$100,MATCH(A301,A$1:A$100,0)),"")</f>
        <v>0</v>
      </c>
      <c r="C301" s="451">
        <f t="shared" ref="C301:C319" si="10">IF(21-A301&gt;0,IF(OR(A301=A302,A300=A301),21-A301-0.5,21-A301),1)</f>
        <v>19</v>
      </c>
      <c r="D301" s="404"/>
      <c r="E301" s="404"/>
      <c r="F301" s="403"/>
      <c r="G301" s="403"/>
      <c r="H301" s="403"/>
      <c r="I301" s="403"/>
      <c r="J301" s="403"/>
      <c r="K301" s="403"/>
      <c r="L301" s="403"/>
      <c r="M301" s="403"/>
      <c r="N301" s="403"/>
      <c r="O301" s="403"/>
      <c r="P301" s="403"/>
      <c r="Q301" s="403"/>
      <c r="R301" s="403"/>
      <c r="S301" s="403"/>
      <c r="T301" s="403"/>
      <c r="U301" s="403"/>
      <c r="V301" s="403"/>
      <c r="W301" s="453"/>
      <c r="X301" s="403"/>
      <c r="Y301" s="403"/>
      <c r="Z301" s="403"/>
      <c r="AA301" s="403"/>
      <c r="AB301" s="403"/>
      <c r="AC301" s="403"/>
      <c r="AD301" s="403"/>
      <c r="AE301" s="403"/>
      <c r="AF301" s="403"/>
      <c r="AG301" s="403"/>
      <c r="AH301" s="403"/>
      <c r="AI301" s="403"/>
      <c r="AJ301" s="403"/>
      <c r="AK301" s="403"/>
      <c r="AL301" s="403"/>
      <c r="AM301" s="403"/>
    </row>
    <row r="302" spans="1:39" x14ac:dyDescent="0.2">
      <c r="A302" s="449">
        <v>3</v>
      </c>
      <c r="B302" s="450">
        <f t="shared" si="9"/>
        <v>0</v>
      </c>
      <c r="C302" s="451">
        <f t="shared" si="10"/>
        <v>18</v>
      </c>
      <c r="D302" s="404"/>
      <c r="E302" s="404"/>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row>
    <row r="303" spans="1:39" x14ac:dyDescent="0.2">
      <c r="A303" s="449">
        <v>4</v>
      </c>
      <c r="B303" s="450">
        <f t="shared" si="9"/>
        <v>0</v>
      </c>
      <c r="C303" s="451">
        <f t="shared" si="10"/>
        <v>17</v>
      </c>
      <c r="D303" s="404"/>
      <c r="E303" s="404"/>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row>
    <row r="304" spans="1:39" x14ac:dyDescent="0.2">
      <c r="A304" s="449">
        <v>5</v>
      </c>
      <c r="B304" s="450">
        <f t="shared" si="9"/>
        <v>0</v>
      </c>
      <c r="C304" s="451">
        <f t="shared" si="10"/>
        <v>16</v>
      </c>
      <c r="D304" s="404"/>
      <c r="E304" s="404"/>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c r="AG304" s="403"/>
      <c r="AH304" s="403"/>
      <c r="AI304" s="403"/>
      <c r="AJ304" s="403"/>
      <c r="AK304" s="403"/>
      <c r="AL304" s="403"/>
      <c r="AM304" s="403"/>
    </row>
    <row r="305" spans="1:39" x14ac:dyDescent="0.2">
      <c r="A305" s="449">
        <v>6</v>
      </c>
      <c r="B305" s="450">
        <f t="shared" si="9"/>
        <v>0</v>
      </c>
      <c r="C305" s="451">
        <f t="shared" si="10"/>
        <v>15</v>
      </c>
      <c r="D305" s="404"/>
      <c r="E305" s="404"/>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403"/>
      <c r="AK305" s="403"/>
      <c r="AL305" s="403"/>
      <c r="AM305" s="403"/>
    </row>
    <row r="306" spans="1:39" x14ac:dyDescent="0.2">
      <c r="A306" s="449">
        <v>7</v>
      </c>
      <c r="B306" s="450">
        <f t="shared" si="9"/>
        <v>0</v>
      </c>
      <c r="C306" s="451">
        <f t="shared" si="10"/>
        <v>14</v>
      </c>
      <c r="D306" s="404"/>
      <c r="E306" s="404"/>
      <c r="F306" s="403"/>
      <c r="G306" s="403"/>
      <c r="H306" s="403"/>
      <c r="I306" s="403"/>
      <c r="J306" s="403"/>
      <c r="K306" s="403"/>
      <c r="L306" s="403"/>
      <c r="M306" s="403"/>
      <c r="N306" s="403"/>
      <c r="O306" s="403"/>
      <c r="P306" s="403"/>
      <c r="Q306" s="403"/>
      <c r="R306" s="403"/>
      <c r="S306" s="403"/>
      <c r="T306" s="403"/>
      <c r="U306" s="403"/>
      <c r="V306" s="403"/>
      <c r="W306" s="453"/>
      <c r="X306" s="403"/>
      <c r="Y306" s="403"/>
      <c r="Z306" s="403"/>
      <c r="AA306" s="403"/>
      <c r="AB306" s="403"/>
      <c r="AC306" s="403"/>
      <c r="AD306" s="403"/>
      <c r="AE306" s="403"/>
      <c r="AF306" s="403"/>
      <c r="AG306" s="403"/>
      <c r="AH306" s="403"/>
      <c r="AI306" s="403"/>
      <c r="AJ306" s="403"/>
      <c r="AK306" s="403"/>
      <c r="AL306" s="403"/>
      <c r="AM306" s="403"/>
    </row>
    <row r="307" spans="1:39" x14ac:dyDescent="0.2">
      <c r="A307" s="449">
        <v>8</v>
      </c>
      <c r="B307" s="450">
        <f t="shared" si="9"/>
        <v>0</v>
      </c>
      <c r="C307" s="451">
        <f t="shared" si="10"/>
        <v>13</v>
      </c>
      <c r="D307" s="404"/>
      <c r="E307" s="404"/>
      <c r="F307" s="403"/>
      <c r="G307" s="403"/>
      <c r="H307" s="403"/>
      <c r="I307" s="403"/>
      <c r="J307" s="403"/>
      <c r="K307" s="403"/>
      <c r="L307" s="403"/>
      <c r="M307" s="403"/>
      <c r="N307" s="403"/>
      <c r="O307" s="403"/>
      <c r="P307" s="403"/>
      <c r="Q307" s="403"/>
      <c r="R307" s="403"/>
      <c r="S307" s="403"/>
      <c r="T307" s="403"/>
      <c r="U307" s="403"/>
      <c r="V307" s="403"/>
      <c r="W307" s="403"/>
      <c r="X307" s="403"/>
      <c r="Y307" s="403"/>
      <c r="Z307" s="403"/>
      <c r="AA307" s="403"/>
      <c r="AB307" s="403"/>
      <c r="AC307" s="403"/>
      <c r="AD307" s="403"/>
      <c r="AE307" s="403"/>
      <c r="AF307" s="403"/>
      <c r="AG307" s="403"/>
      <c r="AH307" s="403"/>
      <c r="AI307" s="403"/>
      <c r="AJ307" s="403"/>
      <c r="AK307" s="403"/>
      <c r="AL307" s="403"/>
      <c r="AM307" s="403"/>
    </row>
    <row r="308" spans="1:39" x14ac:dyDescent="0.2">
      <c r="A308" s="449">
        <v>9</v>
      </c>
      <c r="B308" s="450">
        <f t="shared" si="9"/>
        <v>0</v>
      </c>
      <c r="C308" s="451">
        <f t="shared" si="10"/>
        <v>12</v>
      </c>
      <c r="D308" s="404"/>
      <c r="E308" s="404"/>
      <c r="F308" s="403"/>
      <c r="G308" s="403"/>
      <c r="H308" s="403"/>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403"/>
      <c r="AG308" s="403"/>
      <c r="AH308" s="403"/>
      <c r="AI308" s="403"/>
      <c r="AJ308" s="403"/>
      <c r="AK308" s="403"/>
      <c r="AL308" s="403"/>
      <c r="AM308" s="403"/>
    </row>
    <row r="309" spans="1:39" x14ac:dyDescent="0.2">
      <c r="A309" s="449">
        <v>10</v>
      </c>
      <c r="B309" s="450">
        <f t="shared" si="9"/>
        <v>0</v>
      </c>
      <c r="C309" s="451">
        <f t="shared" si="10"/>
        <v>11</v>
      </c>
      <c r="D309" s="404"/>
      <c r="E309" s="404"/>
      <c r="F309" s="403"/>
      <c r="G309" s="403"/>
      <c r="H309" s="403"/>
      <c r="I309" s="403"/>
      <c r="J309" s="403"/>
      <c r="K309" s="403"/>
      <c r="L309" s="403"/>
      <c r="M309" s="403"/>
      <c r="N309" s="403"/>
      <c r="O309" s="403"/>
      <c r="P309" s="403"/>
      <c r="Q309" s="403"/>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row>
    <row r="310" spans="1:39" x14ac:dyDescent="0.2">
      <c r="A310" s="449">
        <v>11</v>
      </c>
      <c r="B310" s="450">
        <f t="shared" si="9"/>
        <v>0</v>
      </c>
      <c r="C310" s="451">
        <f t="shared" si="10"/>
        <v>10</v>
      </c>
      <c r="D310" s="403"/>
      <c r="E310" s="403"/>
      <c r="F310" s="403"/>
      <c r="G310" s="403"/>
      <c r="H310" s="403"/>
      <c r="I310" s="403"/>
      <c r="J310" s="403"/>
      <c r="K310" s="403"/>
      <c r="L310" s="403"/>
      <c r="M310" s="403"/>
      <c r="N310" s="403"/>
      <c r="O310" s="403"/>
      <c r="P310" s="403"/>
      <c r="Q310" s="403"/>
      <c r="R310" s="403"/>
      <c r="S310" s="403"/>
      <c r="T310" s="403"/>
      <c r="U310" s="403"/>
      <c r="V310" s="403"/>
      <c r="W310" s="403"/>
      <c r="X310" s="403"/>
      <c r="Y310" s="403"/>
      <c r="Z310" s="403"/>
      <c r="AA310" s="403"/>
      <c r="AB310" s="403"/>
      <c r="AC310" s="403"/>
      <c r="AD310" s="403"/>
      <c r="AE310" s="403"/>
      <c r="AF310" s="403"/>
      <c r="AG310" s="403"/>
      <c r="AH310" s="403"/>
      <c r="AI310" s="403"/>
      <c r="AJ310" s="403"/>
      <c r="AK310" s="403"/>
      <c r="AL310" s="403"/>
      <c r="AM310" s="403"/>
    </row>
    <row r="311" spans="1:39" x14ac:dyDescent="0.2">
      <c r="A311" s="449">
        <v>12</v>
      </c>
      <c r="B311" s="450">
        <f t="shared" si="9"/>
        <v>0</v>
      </c>
      <c r="C311" s="451">
        <f t="shared" si="10"/>
        <v>9</v>
      </c>
      <c r="D311" s="403"/>
      <c r="E311" s="403"/>
      <c r="F311" s="403"/>
      <c r="G311" s="403"/>
      <c r="H311" s="403"/>
      <c r="I311" s="403"/>
      <c r="J311" s="403"/>
      <c r="K311" s="403"/>
      <c r="L311" s="403"/>
      <c r="M311" s="403"/>
      <c r="N311" s="403"/>
      <c r="O311" s="403"/>
      <c r="P311" s="403"/>
      <c r="Q311" s="403"/>
      <c r="R311" s="403"/>
      <c r="S311" s="403"/>
      <c r="T311" s="403"/>
      <c r="U311" s="403"/>
      <c r="V311" s="403"/>
      <c r="W311" s="403"/>
      <c r="X311" s="403"/>
      <c r="Y311" s="403"/>
      <c r="Z311" s="403"/>
      <c r="AA311" s="403"/>
      <c r="AB311" s="403"/>
      <c r="AC311" s="403"/>
      <c r="AD311" s="403"/>
      <c r="AE311" s="403"/>
      <c r="AF311" s="403"/>
      <c r="AG311" s="403"/>
      <c r="AH311" s="403"/>
      <c r="AI311" s="403"/>
      <c r="AJ311" s="403"/>
      <c r="AK311" s="403"/>
      <c r="AL311" s="403"/>
      <c r="AM311" s="403"/>
    </row>
    <row r="312" spans="1:39" x14ac:dyDescent="0.2">
      <c r="A312" s="449">
        <v>13</v>
      </c>
      <c r="B312" s="450">
        <f t="shared" si="9"/>
        <v>0</v>
      </c>
      <c r="C312" s="451">
        <f t="shared" si="10"/>
        <v>8</v>
      </c>
      <c r="D312" s="403"/>
      <c r="E312" s="403"/>
      <c r="F312" s="403"/>
      <c r="G312" s="403"/>
      <c r="H312" s="403"/>
      <c r="I312" s="403"/>
      <c r="J312" s="403"/>
      <c r="K312" s="403"/>
      <c r="L312" s="403"/>
      <c r="M312" s="403"/>
      <c r="N312" s="403"/>
      <c r="O312" s="403"/>
      <c r="P312" s="403"/>
      <c r="Q312" s="403"/>
      <c r="R312" s="403"/>
      <c r="S312" s="403"/>
      <c r="T312" s="403"/>
      <c r="U312" s="403"/>
      <c r="V312" s="403"/>
      <c r="W312" s="403"/>
      <c r="X312" s="403"/>
      <c r="Y312" s="403"/>
      <c r="Z312" s="403"/>
      <c r="AA312" s="403"/>
      <c r="AB312" s="403"/>
      <c r="AC312" s="403"/>
      <c r="AD312" s="403"/>
      <c r="AE312" s="403"/>
      <c r="AF312" s="403"/>
      <c r="AG312" s="403"/>
      <c r="AH312" s="403"/>
      <c r="AI312" s="403"/>
      <c r="AJ312" s="403"/>
      <c r="AK312" s="403"/>
      <c r="AL312" s="403"/>
      <c r="AM312" s="403"/>
    </row>
    <row r="313" spans="1:39" x14ac:dyDescent="0.2">
      <c r="A313" s="449">
        <v>14</v>
      </c>
      <c r="B313" s="450">
        <f t="shared" si="9"/>
        <v>0</v>
      </c>
      <c r="C313" s="451">
        <f t="shared" si="10"/>
        <v>7</v>
      </c>
    </row>
    <row r="314" spans="1:39" x14ac:dyDescent="0.2">
      <c r="A314" s="449">
        <v>15</v>
      </c>
      <c r="B314" s="450">
        <f t="shared" si="9"/>
        <v>0</v>
      </c>
      <c r="C314" s="451">
        <f t="shared" si="10"/>
        <v>6</v>
      </c>
    </row>
    <row r="315" spans="1:39" x14ac:dyDescent="0.2">
      <c r="A315" s="449">
        <v>16</v>
      </c>
      <c r="B315" s="450">
        <f t="shared" si="9"/>
        <v>0</v>
      </c>
      <c r="C315" s="451">
        <f t="shared" si="10"/>
        <v>5</v>
      </c>
    </row>
    <row r="316" spans="1:39" x14ac:dyDescent="0.2">
      <c r="A316" s="449">
        <v>17</v>
      </c>
      <c r="B316" s="450">
        <f t="shared" si="9"/>
        <v>0</v>
      </c>
      <c r="C316" s="451">
        <f t="shared" si="10"/>
        <v>4</v>
      </c>
    </row>
    <row r="317" spans="1:39" x14ac:dyDescent="0.2">
      <c r="A317" s="449">
        <v>18</v>
      </c>
      <c r="B317" s="450">
        <f t="shared" si="9"/>
        <v>0</v>
      </c>
      <c r="C317" s="451">
        <f t="shared" si="10"/>
        <v>3</v>
      </c>
    </row>
    <row r="318" spans="1:39" x14ac:dyDescent="0.2">
      <c r="A318" s="449">
        <v>19</v>
      </c>
      <c r="B318" s="450">
        <f t="shared" si="9"/>
        <v>0</v>
      </c>
      <c r="C318" s="451">
        <f t="shared" si="10"/>
        <v>2</v>
      </c>
    </row>
    <row r="319" spans="1:39" x14ac:dyDescent="0.2">
      <c r="A319" s="449">
        <v>20</v>
      </c>
      <c r="B319" s="450">
        <f t="shared" si="9"/>
        <v>0</v>
      </c>
      <c r="C319" s="451">
        <f t="shared" si="10"/>
        <v>1</v>
      </c>
    </row>
    <row r="320" spans="1:39" x14ac:dyDescent="0.2">
      <c r="A320" s="449">
        <v>21</v>
      </c>
      <c r="B320" s="450">
        <f t="shared" si="9"/>
        <v>0</v>
      </c>
      <c r="C320" s="451">
        <f>IF(21-A320&gt;0,IF(OR(A320=A321,A319=A320),21-A320-0.5,21-A320),1)</f>
        <v>1</v>
      </c>
    </row>
    <row r="321" spans="1:3" x14ac:dyDescent="0.2">
      <c r="A321" s="449">
        <v>22</v>
      </c>
      <c r="B321" s="450">
        <f t="shared" si="9"/>
        <v>0</v>
      </c>
      <c r="C321" s="451">
        <f>IF(21-A321&gt;0,IF(OR(A321=A322,A320=A321),21-A321-0.5,21-A321),1)</f>
        <v>1</v>
      </c>
    </row>
    <row r="322" spans="1:3" x14ac:dyDescent="0.2">
      <c r="A322" s="449">
        <v>23</v>
      </c>
      <c r="B322" s="450">
        <f t="shared" si="9"/>
        <v>0</v>
      </c>
      <c r="C322" s="451">
        <f>IF(21-A322&gt;0,IF(OR(A322=A323,A321=A322),21-A322-0.5,21-A322),1)</f>
        <v>1</v>
      </c>
    </row>
    <row r="323" spans="1:3" x14ac:dyDescent="0.2">
      <c r="A323" s="449">
        <v>24</v>
      </c>
      <c r="B323" s="450">
        <f t="shared" si="9"/>
        <v>0</v>
      </c>
      <c r="C323" s="451">
        <f>IF(21-A323&gt;0,IF(OR(A323=A324,A322=A323),21-A323-0.5,21-A323),1)</f>
        <v>1</v>
      </c>
    </row>
  </sheetData>
  <conditionalFormatting sqref="A300:A323">
    <cfRule type="duplicateValues" dxfId="84" priority="45"/>
  </conditionalFormatting>
  <conditionalFormatting sqref="B300:B323">
    <cfRule type="expression" dxfId="83" priority="40">
      <formula>A300=3</formula>
    </cfRule>
    <cfRule type="expression" dxfId="82" priority="41">
      <formula>A300=2</formula>
    </cfRule>
    <cfRule type="expression" dxfId="81" priority="42">
      <formula>A300=1</formula>
    </cfRule>
    <cfRule type="containsBlanks" dxfId="80" priority="43">
      <formula>LEN(TRIM(B300))=0</formula>
    </cfRule>
    <cfRule type="duplicateValues" dxfId="79" priority="44"/>
  </conditionalFormatting>
  <conditionalFormatting sqref="A8:A31">
    <cfRule type="duplicateValues" dxfId="78" priority="39"/>
  </conditionalFormatting>
  <conditionalFormatting sqref="C8:C31">
    <cfRule type="expression" dxfId="77" priority="21">
      <formula>IF($C8&gt;$E8,TRUE)</formula>
    </cfRule>
  </conditionalFormatting>
  <conditionalFormatting sqref="E8:E31">
    <cfRule type="expression" dxfId="76" priority="22">
      <formula>IF($C8&lt;$E8,TRUE)</formula>
    </cfRule>
  </conditionalFormatting>
  <conditionalFormatting sqref="K8:K31">
    <cfRule type="expression" dxfId="75" priority="29">
      <formula>IF($K8&gt;$M8,TRUE)</formula>
    </cfRule>
  </conditionalFormatting>
  <conditionalFormatting sqref="M8:M31">
    <cfRule type="expression" dxfId="74" priority="30">
      <formula>IF($K8&lt;$M8,TRUE)</formula>
    </cfRule>
  </conditionalFormatting>
  <conditionalFormatting sqref="O8:O31">
    <cfRule type="expression" dxfId="73" priority="33">
      <formula>IF($O8&gt;$Q8,TRUE)</formula>
    </cfRule>
  </conditionalFormatting>
  <conditionalFormatting sqref="Q8:Q31">
    <cfRule type="expression" dxfId="72" priority="34">
      <formula>IF($O8&lt;$Q8,TRUE)</formula>
    </cfRule>
  </conditionalFormatting>
  <conditionalFormatting sqref="S8:S31">
    <cfRule type="expression" dxfId="71" priority="37">
      <formula>IF($S8&gt;$U8,TRUE)</formula>
    </cfRule>
  </conditionalFormatting>
  <conditionalFormatting sqref="U8:U31">
    <cfRule type="expression" dxfId="70" priority="38">
      <formula>IF($S8&lt;$U8,TRUE)</formula>
    </cfRule>
  </conditionalFormatting>
  <conditionalFormatting sqref="G8:G31">
    <cfRule type="expression" dxfId="69" priority="25">
      <formula>IF($G8&gt;$I8,TRUE)</formula>
    </cfRule>
  </conditionalFormatting>
  <conditionalFormatting sqref="I8:I31">
    <cfRule type="expression" dxfId="68" priority="26">
      <formula>IF($G8&lt;$I8,TRUE)</formula>
    </cfRule>
  </conditionalFormatting>
  <conditionalFormatting sqref="F8:F31">
    <cfRule type="containsText" dxfId="67" priority="12" operator="containsText" text="vaba voor">
      <formula>NOT(ISERROR(SEARCH("vaba voor",F8)))</formula>
    </cfRule>
  </conditionalFormatting>
  <conditionalFormatting sqref="N8:N31">
    <cfRule type="containsText" dxfId="66" priority="10" operator="containsText" text="vaba voor">
      <formula>NOT(ISERROR(SEARCH("vaba voor",N8)))</formula>
    </cfRule>
  </conditionalFormatting>
  <conditionalFormatting sqref="R8:R31">
    <cfRule type="containsText" dxfId="65" priority="13" operator="containsText" text="vaba voor">
      <formula>NOT(ISERROR(SEARCH("vaba voor",R8)))</formula>
    </cfRule>
  </conditionalFormatting>
  <conditionalFormatting sqref="V8:V31">
    <cfRule type="containsText" dxfId="64" priority="9" operator="containsText" text="vaba voor">
      <formula>NOT(ISERROR(SEARCH("vaba voor",V8)))</formula>
    </cfRule>
  </conditionalFormatting>
  <conditionalFormatting sqref="J8:J31">
    <cfRule type="containsText" dxfId="63" priority="11" operator="containsText" text="vaba voor">
      <formula>NOT(ISERROR(SEARCH("vaba voor",J8)))</formula>
    </cfRule>
  </conditionalFormatting>
  <conditionalFormatting sqref="C8:F31">
    <cfRule type="expression" dxfId="62" priority="17">
      <formula>IF(AND(ISNUMBER($C8),$C8=$E8),TRUE)</formula>
    </cfRule>
    <cfRule type="expression" dxfId="61" priority="19">
      <formula>IF($C8&gt;$E8,TRUE)</formula>
    </cfRule>
    <cfRule type="expression" dxfId="60" priority="20">
      <formula>IF($C8&lt;$E8,TRUE)</formula>
    </cfRule>
  </conditionalFormatting>
  <conditionalFormatting sqref="G8:J31">
    <cfRule type="expression" dxfId="59" priority="18">
      <formula>IF(AND(ISNUMBER($G8),$G8=$I8),TRUE)</formula>
    </cfRule>
    <cfRule type="expression" dxfId="58" priority="23">
      <formula>IF($G8&gt;$I8,TRUE)</formula>
    </cfRule>
    <cfRule type="expression" dxfId="57" priority="24">
      <formula>IF($G8&lt;$I8,TRUE)</formula>
    </cfRule>
  </conditionalFormatting>
  <conditionalFormatting sqref="K8:N31">
    <cfRule type="expression" dxfId="56" priority="16">
      <formula>IF(AND(ISNUMBER($K8),$K8=$M8),TRUE)</formula>
    </cfRule>
    <cfRule type="expression" dxfId="55" priority="27">
      <formula>IF($K8&gt;$M8,TRUE)</formula>
    </cfRule>
    <cfRule type="expression" dxfId="54" priority="28">
      <formula>IF($K8&lt;$M8,TRUE)</formula>
    </cfRule>
  </conditionalFormatting>
  <conditionalFormatting sqref="O8:R31">
    <cfRule type="expression" dxfId="53" priority="15">
      <formula>IF(AND(ISNUMBER($O8),$O8=$Q8),TRUE)</formula>
    </cfRule>
    <cfRule type="expression" dxfId="52" priority="31">
      <formula>IF($O8&gt;$Q8,TRUE)</formula>
    </cfRule>
    <cfRule type="expression" dxfId="51" priority="32">
      <formula>IF($O8&lt;$Q8,TRUE)</formula>
    </cfRule>
  </conditionalFormatting>
  <conditionalFormatting sqref="S8:V31">
    <cfRule type="expression" dxfId="50" priority="14">
      <formula>IF(AND(ISNUMBER($S8),$S8=$U8),TRUE)</formula>
    </cfRule>
    <cfRule type="expression" dxfId="49" priority="35">
      <formula>IF($S8&gt;$U8,TRUE)</formula>
    </cfRule>
    <cfRule type="expression" dxfId="48" priority="36">
      <formula>IF($S8&lt;$U8,TRUE)</formula>
    </cfRule>
  </conditionalFormatting>
  <conditionalFormatting sqref="C8:C31 G8:G31 K8:K31 O8:O31 S8:S31">
    <cfRule type="expression" dxfId="47" priority="7">
      <formula>AND(C8=0,E8=13)</formula>
    </cfRule>
  </conditionalFormatting>
  <conditionalFormatting sqref="E8:E31 I8:I31 M8:M31 Q8:Q31 U8:U31">
    <cfRule type="expression" dxfId="46" priority="8">
      <formula>AND(E8=0,C8=13)</formula>
    </cfRule>
  </conditionalFormatting>
  <conditionalFormatting sqref="AF8:AF31 AJ8:AJ31 AL8:AL31">
    <cfRule type="expression" dxfId="45" priority="1">
      <formula>AND(AE8="",COUNTIF(AF8,"*,*")=0)</formula>
    </cfRule>
  </conditionalFormatting>
  <conditionalFormatting sqref="AH8:AH31">
    <cfRule type="expression" dxfId="44" priority="2">
      <formula>AND(AG8="",FIND(",",AH8))</formula>
    </cfRule>
    <cfRule type="expression" dxfId="43" priority="3">
      <formula>AND(AG8="",COUNTIF(AH8,"*,*")=0)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23"/>
  <sheetViews>
    <sheetView showGridLine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customWidth="1"/>
    <col min="32" max="32" width="12.7109375" customWidth="1"/>
    <col min="33" max="33" width="9.140625" customWidth="1"/>
    <col min="34" max="34" width="13.85546875" customWidth="1"/>
    <col min="35" max="35" width="9.140625" customWidth="1"/>
    <col min="36" max="36" width="17.28515625" customWidth="1"/>
    <col min="37" max="37" width="9.140625" customWidth="1"/>
    <col min="38" max="38" width="13.85546875" customWidth="1"/>
  </cols>
  <sheetData>
    <row r="1" spans="1:39" x14ac:dyDescent="0.2">
      <c r="A1" s="462" t="e">
        <f>UPPER((Kalend!#REF!)&amp;" - "&amp;(Kalend!#REF!)&amp;" - "&amp;(Kalend!#REF!))</f>
        <v>#REF!</v>
      </c>
      <c r="B1" s="403"/>
      <c r="C1" s="404"/>
      <c r="D1" s="403"/>
      <c r="E1" s="406"/>
      <c r="F1" s="406"/>
      <c r="G1" s="406"/>
      <c r="H1" s="406"/>
      <c r="I1" s="406"/>
      <c r="J1" s="406"/>
      <c r="K1" s="406"/>
      <c r="L1" s="406"/>
      <c r="M1" s="407"/>
      <c r="N1" s="407"/>
      <c r="O1" s="403"/>
      <c r="P1" s="403"/>
      <c r="Q1" s="405"/>
      <c r="R1" s="405"/>
      <c r="S1" s="405"/>
      <c r="T1" s="406"/>
      <c r="U1" s="406"/>
      <c r="V1" s="406"/>
      <c r="W1" s="403"/>
      <c r="X1" s="408"/>
      <c r="Y1" s="403"/>
      <c r="Z1" s="403"/>
      <c r="AA1" s="403"/>
      <c r="AB1" s="403"/>
      <c r="AD1" s="176" t="s">
        <v>68</v>
      </c>
      <c r="AE1" s="408"/>
      <c r="AF1" s="408"/>
      <c r="AG1" s="408"/>
      <c r="AH1" s="408"/>
      <c r="AI1" s="408"/>
      <c r="AJ1" s="408"/>
      <c r="AK1" s="408"/>
      <c r="AL1" s="408"/>
      <c r="AM1" s="403"/>
    </row>
    <row r="2" spans="1:39" x14ac:dyDescent="0.2">
      <c r="A2" s="409" t="e">
        <f>"Toimumisaeg: "&amp;(Kalend!#REF!)&amp;" kell "&amp;(Kalend!#REF!)</f>
        <v>#REF!</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10" t="s">
        <v>227</v>
      </c>
      <c r="AB2" s="403"/>
      <c r="AD2" s="403"/>
      <c r="AE2" s="403"/>
      <c r="AF2" s="403"/>
      <c r="AG2" s="403"/>
      <c r="AH2" s="403"/>
      <c r="AI2" s="403"/>
      <c r="AJ2" s="403"/>
      <c r="AK2" s="403"/>
      <c r="AL2" s="403"/>
      <c r="AM2" s="403"/>
    </row>
    <row r="3" spans="1:39" x14ac:dyDescent="0.2">
      <c r="A3" s="409" t="e">
        <f>"Toimumiskoht: "&amp;(Kalend!#REF!)</f>
        <v>#REF!</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3"/>
      <c r="AE3" s="403"/>
      <c r="AF3" s="403"/>
      <c r="AG3" s="403"/>
      <c r="AH3" s="403"/>
      <c r="AI3" s="403"/>
      <c r="AJ3" s="403"/>
      <c r="AK3" s="403"/>
      <c r="AL3" s="403"/>
      <c r="AM3" s="403"/>
    </row>
    <row r="4" spans="1:39" x14ac:dyDescent="0.2">
      <c r="A4" s="409" t="e">
        <f>"Korraldaja: "&amp;(Kalend!#REF!)</f>
        <v>#REF!</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417" t="s">
        <v>231</v>
      </c>
      <c r="AE4" s="403"/>
      <c r="AF4" s="403"/>
      <c r="AG4" s="403"/>
      <c r="AH4" s="403"/>
      <c r="AI4" s="403"/>
      <c r="AJ4" s="403"/>
      <c r="AK4" s="403"/>
      <c r="AL4" s="403"/>
      <c r="AM4" s="403"/>
    </row>
    <row r="5" spans="1:39"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14</v>
      </c>
      <c r="AE5" s="421"/>
      <c r="AF5" s="422"/>
      <c r="AG5" s="421"/>
      <c r="AH5" s="423"/>
      <c r="AI5" s="421"/>
      <c r="AJ5" s="421"/>
      <c r="AK5" s="421"/>
      <c r="AL5" s="421"/>
      <c r="AM5" s="403"/>
    </row>
    <row r="6" spans="1:39"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20" t="s">
        <v>233</v>
      </c>
      <c r="AE6" s="424"/>
      <c r="AF6" s="424" t="s">
        <v>234</v>
      </c>
      <c r="AG6" s="424"/>
      <c r="AH6" s="425" t="s">
        <v>235</v>
      </c>
      <c r="AI6" s="424"/>
      <c r="AJ6" s="424" t="s">
        <v>236</v>
      </c>
      <c r="AK6" s="426"/>
      <c r="AL6" s="424" t="s">
        <v>237</v>
      </c>
      <c r="AM6" s="403"/>
    </row>
    <row r="7" spans="1:39"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20" t="s">
        <v>245</v>
      </c>
      <c r="AE7" s="421"/>
      <c r="AF7" s="422"/>
      <c r="AG7" s="421"/>
      <c r="AH7" s="422"/>
      <c r="AI7" s="434"/>
      <c r="AJ7" s="434"/>
      <c r="AK7" s="434"/>
      <c r="AL7" s="434"/>
      <c r="AM7" s="403"/>
    </row>
    <row r="8" spans="1:39" x14ac:dyDescent="0.2">
      <c r="A8" s="435">
        <v>1</v>
      </c>
      <c r="B8" s="436"/>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SUM(AE8:AL8)</f>
        <v>0</v>
      </c>
      <c r="AE8" s="459" t="str">
        <f>IFERROR(INDEX(Reit!I$8:I$62,MATCH(AF8,Reit!F$8:F$62,0)),"")</f>
        <v/>
      </c>
      <c r="AF8" s="460" t="str">
        <f>IFERROR(LEFT(B8,(FIND(",",B8,1)-1)),"")</f>
        <v/>
      </c>
      <c r="AG8" s="459" t="str">
        <f>IFERROR(INDEX(Reit!I$8:I$62,MATCH(AH8,Reit!F$8:F$62,0)),"")</f>
        <v/>
      </c>
      <c r="AH8" s="460" t="str">
        <f>IFERROR(MID(B8,FIND(", ",B8)+2,256),"")</f>
        <v/>
      </c>
      <c r="AI8" s="459" t="str">
        <f>IFERROR(INDEX(Reit!I$8:I$62,MATCH(AJ8,Reit!F$8:F$62,0)),"")</f>
        <v/>
      </c>
      <c r="AJ8" s="460" t="str">
        <f>IFERROR(MID(B8,FIND("^",SUBSTITUTE(B8,", ","^",1))+2,FIND("^",SUBSTITUTE(B8,", ","^",2))-FIND("^",SUBSTITUTE(B8,", ","^",1))-2),"")</f>
        <v/>
      </c>
      <c r="AK8" s="459" t="str">
        <f>IFERROR(INDEX(Reit!I$8:I$62,MATCH(AL8,Reit!F$8:F$62,0)),"")</f>
        <v/>
      </c>
      <c r="AL8" s="460" t="str">
        <f>IFERROR(MID(B8,FIND(", ",B8,FIND(", ",B8,FIND(", ",B8))+1)+2,700),"")</f>
        <v/>
      </c>
      <c r="AM8" s="403"/>
    </row>
    <row r="9" spans="1:39" x14ac:dyDescent="0.2">
      <c r="A9" s="435">
        <v>2</v>
      </c>
      <c r="B9" s="436"/>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27" si="0">IF(C9&gt;E9,J$3,IF(C9&lt;E9,J$5,IF(ISNUMBER(C9),J$4,0)))+IF(G9&gt;I9,J$3,IF(G9&lt;I9,J$5,IF(ISNUMBER(G9),J$4,0)))+IF(K9&gt;M9,J$3,IF(K9&lt;M9,J$5,IF(ISNUMBER(K9),J$4,0)))+IF(O9&gt;Q9,J$3,IF(O9&lt;Q9,J$5,IF(ISNUMBER(O9),J$4,0)))+IF(S9&gt;U9,J$3,IF(S9&lt;U9,J$5,IF(ISNUMBER(S9),J$4,0)))</f>
        <v>0</v>
      </c>
      <c r="X9" s="442"/>
      <c r="Y9" s="437">
        <f t="shared" ref="Y9:Y27" si="1">C9+G9+K9+O9+S9</f>
        <v>0</v>
      </c>
      <c r="Z9" s="438" t="s">
        <v>246</v>
      </c>
      <c r="AA9" s="443">
        <f t="shared" ref="AA9:AA27" si="2">E9+I9+M9+Q9+U9</f>
        <v>0</v>
      </c>
      <c r="AB9" s="444">
        <f t="shared" ref="AB9:AB27" si="3">Y9-AA9</f>
        <v>0</v>
      </c>
      <c r="AC9" s="445"/>
      <c r="AD9" s="458">
        <f t="shared" ref="AD9:AD31" si="4">SUM(AE9:AL9)</f>
        <v>0</v>
      </c>
      <c r="AE9" s="459" t="str">
        <f>IFERROR(INDEX(Reit!I$8:I$62,MATCH(AF9,Reit!F$8:F$62,0)),"")</f>
        <v/>
      </c>
      <c r="AF9" s="460" t="str">
        <f t="shared" ref="AF9:AF31" si="5">IFERROR(LEFT(B9,(FIND(",",B9,1)-1)),"")</f>
        <v/>
      </c>
      <c r="AG9" s="459" t="str">
        <f>IFERROR(INDEX(Reit!I$8:I$62,MATCH(AH9,Reit!F$8:F$62,0)),"")</f>
        <v/>
      </c>
      <c r="AH9" s="460" t="str">
        <f t="shared" ref="AH9:AH31" si="6">IFERROR(MID(B9,FIND(", ",B9)+2,256),"")</f>
        <v/>
      </c>
      <c r="AI9" s="459" t="str">
        <f>IFERROR(INDEX(Reit!I$8:I$62,MATCH(AJ9,Reit!F$8:F$62,0)),"")</f>
        <v/>
      </c>
      <c r="AJ9" s="460" t="str">
        <f t="shared" ref="AJ9:AJ31" si="7">IFERROR(MID(B9,FIND("^",SUBSTITUTE(B9,", ","^",1))+2,FIND("^",SUBSTITUTE(B9,", ","^",2))-FIND("^",SUBSTITUTE(B9,", ","^",1))-2),"")</f>
        <v/>
      </c>
      <c r="AK9" s="459" t="str">
        <f>IFERROR(INDEX(Reit!I$8:I$62,MATCH(AL9,Reit!F$8:F$62,0)),"")</f>
        <v/>
      </c>
      <c r="AL9" s="460" t="str">
        <f t="shared" ref="AL9:AL31" si="8">IFERROR(MID(B9,FIND(", ",B9,FIND(", ",B9,FIND(", ",B9))+1)+2,700),"")</f>
        <v/>
      </c>
      <c r="AM9" s="403"/>
    </row>
    <row r="10" spans="1:39" x14ac:dyDescent="0.2">
      <c r="A10" s="435">
        <v>3</v>
      </c>
      <c r="B10" s="436"/>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0"/>
        <v>0</v>
      </c>
      <c r="X10" s="442"/>
      <c r="Y10" s="437">
        <f t="shared" si="1"/>
        <v>0</v>
      </c>
      <c r="Z10" s="438" t="s">
        <v>246</v>
      </c>
      <c r="AA10" s="443">
        <f t="shared" si="2"/>
        <v>0</v>
      </c>
      <c r="AB10" s="444">
        <f t="shared" si="3"/>
        <v>0</v>
      </c>
      <c r="AC10" s="445"/>
      <c r="AD10" s="458">
        <f t="shared" si="4"/>
        <v>0</v>
      </c>
      <c r="AE10" s="459" t="str">
        <f>IFERROR(INDEX(Reit!I$8:I$62,MATCH(AF10,Reit!F$8:F$62,0)),"")</f>
        <v/>
      </c>
      <c r="AF10" s="460" t="str">
        <f t="shared" si="5"/>
        <v/>
      </c>
      <c r="AG10" s="459" t="str">
        <f>IFERROR(INDEX(Reit!I$8:I$62,MATCH(AH10,Reit!F$8:F$62,0)),"")</f>
        <v/>
      </c>
      <c r="AH10" s="460" t="str">
        <f t="shared" si="6"/>
        <v/>
      </c>
      <c r="AI10" s="459" t="str">
        <f>IFERROR(INDEX(Reit!I$8:I$62,MATCH(AJ10,Reit!F$8:F$62,0)),"")</f>
        <v/>
      </c>
      <c r="AJ10" s="460" t="str">
        <f t="shared" si="7"/>
        <v/>
      </c>
      <c r="AK10" s="459" t="str">
        <f>IFERROR(INDEX(Reit!I$8:I$62,MATCH(AL10,Reit!F$8:F$62,0)),"")</f>
        <v/>
      </c>
      <c r="AL10" s="460" t="str">
        <f t="shared" si="8"/>
        <v/>
      </c>
      <c r="AM10" s="403"/>
    </row>
    <row r="11" spans="1:39" x14ac:dyDescent="0.2">
      <c r="A11" s="435">
        <v>4</v>
      </c>
      <c r="B11" s="436"/>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0"/>
        <v>0</v>
      </c>
      <c r="X11" s="442"/>
      <c r="Y11" s="437">
        <f t="shared" si="1"/>
        <v>0</v>
      </c>
      <c r="Z11" s="438" t="s">
        <v>246</v>
      </c>
      <c r="AA11" s="443">
        <f t="shared" si="2"/>
        <v>0</v>
      </c>
      <c r="AB11" s="444">
        <f t="shared" si="3"/>
        <v>0</v>
      </c>
      <c r="AC11" s="445"/>
      <c r="AD11" s="458">
        <f t="shared" si="4"/>
        <v>0</v>
      </c>
      <c r="AE11" s="459" t="str">
        <f>IFERROR(INDEX(Reit!I$8:I$62,MATCH(AF11,Reit!F$8:F$62,0)),"")</f>
        <v/>
      </c>
      <c r="AF11" s="460" t="str">
        <f t="shared" si="5"/>
        <v/>
      </c>
      <c r="AG11" s="459" t="str">
        <f>IFERROR(INDEX(Reit!I$8:I$62,MATCH(AH11,Reit!F$8:F$62,0)),"")</f>
        <v/>
      </c>
      <c r="AH11" s="460" t="str">
        <f t="shared" si="6"/>
        <v/>
      </c>
      <c r="AI11" s="459" t="str">
        <f>IFERROR(INDEX(Reit!I$8:I$62,MATCH(AJ11,Reit!F$8:F$62,0)),"")</f>
        <v/>
      </c>
      <c r="AJ11" s="460" t="str">
        <f t="shared" si="7"/>
        <v/>
      </c>
      <c r="AK11" s="459" t="str">
        <f>IFERROR(INDEX(Reit!I$8:I$62,MATCH(AL11,Reit!F$8:F$62,0)),"")</f>
        <v/>
      </c>
      <c r="AL11" s="460" t="str">
        <f t="shared" si="8"/>
        <v/>
      </c>
      <c r="AM11" s="403"/>
    </row>
    <row r="12" spans="1:39" x14ac:dyDescent="0.2">
      <c r="A12" s="435">
        <v>5</v>
      </c>
      <c r="B12" s="436"/>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0"/>
        <v>0</v>
      </c>
      <c r="X12" s="442"/>
      <c r="Y12" s="437">
        <f t="shared" si="1"/>
        <v>0</v>
      </c>
      <c r="Z12" s="438" t="s">
        <v>246</v>
      </c>
      <c r="AA12" s="443">
        <f t="shared" si="2"/>
        <v>0</v>
      </c>
      <c r="AB12" s="444">
        <f t="shared" si="3"/>
        <v>0</v>
      </c>
      <c r="AC12" s="445"/>
      <c r="AD12" s="458">
        <f t="shared" si="4"/>
        <v>0</v>
      </c>
      <c r="AE12" s="459" t="str">
        <f>IFERROR(INDEX(Reit!I$8:I$62,MATCH(AF12,Reit!F$8:F$62,0)),"")</f>
        <v/>
      </c>
      <c r="AF12" s="460" t="str">
        <f t="shared" si="5"/>
        <v/>
      </c>
      <c r="AG12" s="459" t="str">
        <f>IFERROR(INDEX(Reit!I$8:I$62,MATCH(AH12,Reit!F$8:F$62,0)),"")</f>
        <v/>
      </c>
      <c r="AH12" s="460" t="str">
        <f t="shared" si="6"/>
        <v/>
      </c>
      <c r="AI12" s="459" t="str">
        <f>IFERROR(INDEX(Reit!I$8:I$62,MATCH(AJ12,Reit!F$8:F$62,0)),"")</f>
        <v/>
      </c>
      <c r="AJ12" s="460" t="str">
        <f t="shared" si="7"/>
        <v/>
      </c>
      <c r="AK12" s="459" t="str">
        <f>IFERROR(INDEX(Reit!I$8:I$62,MATCH(AL12,Reit!F$8:F$62,0)),"")</f>
        <v/>
      </c>
      <c r="AL12" s="460" t="str">
        <f t="shared" si="8"/>
        <v/>
      </c>
      <c r="AM12" s="403"/>
    </row>
    <row r="13" spans="1:39" x14ac:dyDescent="0.2">
      <c r="A13" s="435">
        <v>6</v>
      </c>
      <c r="B13" s="436"/>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0"/>
        <v>0</v>
      </c>
      <c r="X13" s="442"/>
      <c r="Y13" s="437">
        <f t="shared" si="1"/>
        <v>0</v>
      </c>
      <c r="Z13" s="438" t="s">
        <v>246</v>
      </c>
      <c r="AA13" s="443">
        <f t="shared" si="2"/>
        <v>0</v>
      </c>
      <c r="AB13" s="444">
        <f t="shared" si="3"/>
        <v>0</v>
      </c>
      <c r="AC13" s="445"/>
      <c r="AD13" s="458">
        <f t="shared" si="4"/>
        <v>0</v>
      </c>
      <c r="AE13" s="459" t="str">
        <f>IFERROR(INDEX(Reit!I$8:I$62,MATCH(AF13,Reit!F$8:F$62,0)),"")</f>
        <v/>
      </c>
      <c r="AF13" s="460" t="str">
        <f t="shared" si="5"/>
        <v/>
      </c>
      <c r="AG13" s="459" t="str">
        <f>IFERROR(INDEX(Reit!I$8:I$62,MATCH(AH13,Reit!F$8:F$62,0)),"")</f>
        <v/>
      </c>
      <c r="AH13" s="460" t="str">
        <f t="shared" si="6"/>
        <v/>
      </c>
      <c r="AI13" s="459" t="str">
        <f>IFERROR(INDEX(Reit!I$8:I$62,MATCH(AJ13,Reit!F$8:F$62,0)),"")</f>
        <v/>
      </c>
      <c r="AJ13" s="460" t="str">
        <f t="shared" si="7"/>
        <v/>
      </c>
      <c r="AK13" s="459" t="str">
        <f>IFERROR(INDEX(Reit!I$8:I$62,MATCH(AL13,Reit!F$8:F$62,0)),"")</f>
        <v/>
      </c>
      <c r="AL13" s="460" t="str">
        <f t="shared" si="8"/>
        <v/>
      </c>
      <c r="AM13" s="403"/>
    </row>
    <row r="14" spans="1:39" x14ac:dyDescent="0.2">
      <c r="A14" s="435">
        <v>7</v>
      </c>
      <c r="B14" s="446"/>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0"/>
        <v>0</v>
      </c>
      <c r="X14" s="442"/>
      <c r="Y14" s="437">
        <f t="shared" si="1"/>
        <v>0</v>
      </c>
      <c r="Z14" s="438" t="s">
        <v>246</v>
      </c>
      <c r="AA14" s="443">
        <f t="shared" si="2"/>
        <v>0</v>
      </c>
      <c r="AB14" s="444">
        <f t="shared" si="3"/>
        <v>0</v>
      </c>
      <c r="AC14" s="445"/>
      <c r="AD14" s="458">
        <f t="shared" si="4"/>
        <v>0</v>
      </c>
      <c r="AE14" s="459" t="str">
        <f>IFERROR(INDEX(Reit!I$8:I$62,MATCH(AF14,Reit!F$8:F$62,0)),"")</f>
        <v/>
      </c>
      <c r="AF14" s="460" t="str">
        <f t="shared" si="5"/>
        <v/>
      </c>
      <c r="AG14" s="459" t="str">
        <f>IFERROR(INDEX(Reit!I$8:I$62,MATCH(AH14,Reit!F$8:F$62,0)),"")</f>
        <v/>
      </c>
      <c r="AH14" s="460" t="str">
        <f t="shared" si="6"/>
        <v/>
      </c>
      <c r="AI14" s="459" t="str">
        <f>IFERROR(INDEX(Reit!I$8:I$62,MATCH(AJ14,Reit!F$8:F$62,0)),"")</f>
        <v/>
      </c>
      <c r="AJ14" s="460" t="str">
        <f t="shared" si="7"/>
        <v/>
      </c>
      <c r="AK14" s="459" t="str">
        <f>IFERROR(INDEX(Reit!I$8:I$62,MATCH(AL14,Reit!F$8:F$62,0)),"")</f>
        <v/>
      </c>
      <c r="AL14" s="460" t="str">
        <f t="shared" si="8"/>
        <v/>
      </c>
      <c r="AM14" s="403"/>
    </row>
    <row r="15" spans="1:39" x14ac:dyDescent="0.2">
      <c r="A15" s="435">
        <v>8</v>
      </c>
      <c r="B15" s="446"/>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0"/>
        <v>0</v>
      </c>
      <c r="X15" s="442"/>
      <c r="Y15" s="437">
        <f t="shared" si="1"/>
        <v>0</v>
      </c>
      <c r="Z15" s="438" t="s">
        <v>246</v>
      </c>
      <c r="AA15" s="443">
        <f t="shared" si="2"/>
        <v>0</v>
      </c>
      <c r="AB15" s="444">
        <f t="shared" si="3"/>
        <v>0</v>
      </c>
      <c r="AC15" s="445"/>
      <c r="AD15" s="458">
        <f t="shared" si="4"/>
        <v>0</v>
      </c>
      <c r="AE15" s="459" t="str">
        <f>IFERROR(INDEX(Reit!I$8:I$62,MATCH(AF15,Reit!F$8:F$62,0)),"")</f>
        <v/>
      </c>
      <c r="AF15" s="460" t="str">
        <f t="shared" si="5"/>
        <v/>
      </c>
      <c r="AG15" s="459" t="str">
        <f>IFERROR(INDEX(Reit!I$8:I$62,MATCH(AH15,Reit!F$8:F$62,0)),"")</f>
        <v/>
      </c>
      <c r="AH15" s="460" t="str">
        <f t="shared" si="6"/>
        <v/>
      </c>
      <c r="AI15" s="459" t="str">
        <f>IFERROR(INDEX(Reit!I$8:I$62,MATCH(AJ15,Reit!F$8:F$62,0)),"")</f>
        <v/>
      </c>
      <c r="AJ15" s="460" t="str">
        <f t="shared" si="7"/>
        <v/>
      </c>
      <c r="AK15" s="459" t="str">
        <f>IFERROR(INDEX(Reit!I$8:I$62,MATCH(AL15,Reit!F$8:F$62,0)),"")</f>
        <v/>
      </c>
      <c r="AL15" s="460" t="str">
        <f t="shared" si="8"/>
        <v/>
      </c>
      <c r="AM15" s="403"/>
    </row>
    <row r="16" spans="1:39" x14ac:dyDescent="0.2">
      <c r="A16" s="435">
        <v>9</v>
      </c>
      <c r="B16" s="436"/>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0"/>
        <v>0</v>
      </c>
      <c r="X16" s="442"/>
      <c r="Y16" s="437">
        <f t="shared" si="1"/>
        <v>0</v>
      </c>
      <c r="Z16" s="438" t="s">
        <v>246</v>
      </c>
      <c r="AA16" s="443">
        <f t="shared" si="2"/>
        <v>0</v>
      </c>
      <c r="AB16" s="444">
        <f t="shared" si="3"/>
        <v>0</v>
      </c>
      <c r="AC16" s="445"/>
      <c r="AD16" s="458">
        <f t="shared" si="4"/>
        <v>0</v>
      </c>
      <c r="AE16" s="459" t="str">
        <f>IFERROR(INDEX(Reit!I$8:I$62,MATCH(AF16,Reit!F$8:F$62,0)),"")</f>
        <v/>
      </c>
      <c r="AF16" s="460" t="str">
        <f t="shared" si="5"/>
        <v/>
      </c>
      <c r="AG16" s="459" t="str">
        <f>IFERROR(INDEX(Reit!I$8:I$62,MATCH(AH16,Reit!F$8:F$62,0)),"")</f>
        <v/>
      </c>
      <c r="AH16" s="460" t="str">
        <f t="shared" si="6"/>
        <v/>
      </c>
      <c r="AI16" s="459" t="str">
        <f>IFERROR(INDEX(Reit!I$8:I$62,MATCH(AJ16,Reit!F$8:F$62,0)),"")</f>
        <v/>
      </c>
      <c r="AJ16" s="460" t="str">
        <f t="shared" si="7"/>
        <v/>
      </c>
      <c r="AK16" s="459" t="str">
        <f>IFERROR(INDEX(Reit!I$8:I$62,MATCH(AL16,Reit!F$8:F$62,0)),"")</f>
        <v/>
      </c>
      <c r="AL16" s="460" t="str">
        <f t="shared" si="8"/>
        <v/>
      </c>
      <c r="AM16" s="403"/>
    </row>
    <row r="17" spans="1:39" x14ac:dyDescent="0.2">
      <c r="A17" s="435">
        <v>10</v>
      </c>
      <c r="B17" s="436"/>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0"/>
        <v>0</v>
      </c>
      <c r="X17" s="442"/>
      <c r="Y17" s="437">
        <f t="shared" si="1"/>
        <v>0</v>
      </c>
      <c r="Z17" s="438" t="s">
        <v>246</v>
      </c>
      <c r="AA17" s="443">
        <f t="shared" si="2"/>
        <v>0</v>
      </c>
      <c r="AB17" s="444">
        <f t="shared" si="3"/>
        <v>0</v>
      </c>
      <c r="AC17" s="445"/>
      <c r="AD17" s="458">
        <f t="shared" si="4"/>
        <v>0</v>
      </c>
      <c r="AE17" s="459" t="str">
        <f>IFERROR(INDEX(Reit!I$8:I$62,MATCH(AF17,Reit!F$8:F$62,0)),"")</f>
        <v/>
      </c>
      <c r="AF17" s="460" t="str">
        <f t="shared" si="5"/>
        <v/>
      </c>
      <c r="AG17" s="459" t="str">
        <f>IFERROR(INDEX(Reit!I$8:I$62,MATCH(AH17,Reit!F$8:F$62,0)),"")</f>
        <v/>
      </c>
      <c r="AH17" s="460" t="str">
        <f t="shared" si="6"/>
        <v/>
      </c>
      <c r="AI17" s="459" t="str">
        <f>IFERROR(INDEX(Reit!I$8:I$62,MATCH(AJ17,Reit!F$8:F$62,0)),"")</f>
        <v/>
      </c>
      <c r="AJ17" s="460" t="str">
        <f t="shared" si="7"/>
        <v/>
      </c>
      <c r="AK17" s="459" t="str">
        <f>IFERROR(INDEX(Reit!I$8:I$62,MATCH(AL17,Reit!F$8:F$62,0)),"")</f>
        <v/>
      </c>
      <c r="AL17" s="460" t="str">
        <f t="shared" si="8"/>
        <v/>
      </c>
      <c r="AM17" s="403"/>
    </row>
    <row r="18" spans="1:39" x14ac:dyDescent="0.2">
      <c r="A18" s="435">
        <v>11</v>
      </c>
      <c r="B18" s="446"/>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0"/>
        <v>0</v>
      </c>
      <c r="X18" s="442"/>
      <c r="Y18" s="437">
        <f t="shared" si="1"/>
        <v>0</v>
      </c>
      <c r="Z18" s="438" t="s">
        <v>246</v>
      </c>
      <c r="AA18" s="443">
        <f t="shared" si="2"/>
        <v>0</v>
      </c>
      <c r="AB18" s="444">
        <f t="shared" si="3"/>
        <v>0</v>
      </c>
      <c r="AC18" s="445"/>
      <c r="AD18" s="458">
        <f t="shared" si="4"/>
        <v>0</v>
      </c>
      <c r="AE18" s="459" t="str">
        <f>IFERROR(INDEX(Reit!I$8:I$62,MATCH(AF18,Reit!F$8:F$62,0)),"")</f>
        <v/>
      </c>
      <c r="AF18" s="460" t="str">
        <f t="shared" si="5"/>
        <v/>
      </c>
      <c r="AG18" s="459" t="str">
        <f>IFERROR(INDEX(Reit!I$8:I$62,MATCH(AH18,Reit!F$8:F$62,0)),"")</f>
        <v/>
      </c>
      <c r="AH18" s="460" t="str">
        <f t="shared" si="6"/>
        <v/>
      </c>
      <c r="AI18" s="459" t="str">
        <f>IFERROR(INDEX(Reit!I$8:I$62,MATCH(AJ18,Reit!F$8:F$62,0)),"")</f>
        <v/>
      </c>
      <c r="AJ18" s="460" t="str">
        <f t="shared" si="7"/>
        <v/>
      </c>
      <c r="AK18" s="459" t="str">
        <f>IFERROR(INDEX(Reit!I$8:I$62,MATCH(AL18,Reit!F$8:F$62,0)),"")</f>
        <v/>
      </c>
      <c r="AL18" s="460" t="str">
        <f t="shared" si="8"/>
        <v/>
      </c>
      <c r="AM18" s="403"/>
    </row>
    <row r="19" spans="1:39" x14ac:dyDescent="0.2">
      <c r="A19" s="435">
        <v>12</v>
      </c>
      <c r="B19" s="446"/>
      <c r="C19" s="437"/>
      <c r="D19" s="438" t="s">
        <v>246</v>
      </c>
      <c r="E19" s="439"/>
      <c r="F19" s="440"/>
      <c r="G19" s="437"/>
      <c r="H19" s="438" t="s">
        <v>246</v>
      </c>
      <c r="I19" s="439"/>
      <c r="J19" s="440"/>
      <c r="K19" s="437"/>
      <c r="L19" s="438" t="s">
        <v>246</v>
      </c>
      <c r="M19" s="439"/>
      <c r="N19" s="440"/>
      <c r="O19" s="437"/>
      <c r="P19" s="438" t="s">
        <v>246</v>
      </c>
      <c r="Q19" s="439"/>
      <c r="R19" s="440"/>
      <c r="S19" s="437"/>
      <c r="T19" s="438" t="s">
        <v>246</v>
      </c>
      <c r="U19" s="439"/>
      <c r="V19" s="440"/>
      <c r="W19" s="441">
        <f t="shared" si="0"/>
        <v>0</v>
      </c>
      <c r="X19" s="442"/>
      <c r="Y19" s="437">
        <f t="shared" si="1"/>
        <v>0</v>
      </c>
      <c r="Z19" s="438" t="s">
        <v>246</v>
      </c>
      <c r="AA19" s="443">
        <f t="shared" si="2"/>
        <v>0</v>
      </c>
      <c r="AB19" s="444">
        <f t="shared" si="3"/>
        <v>0</v>
      </c>
      <c r="AC19" s="445"/>
      <c r="AD19" s="458">
        <f t="shared" si="4"/>
        <v>0</v>
      </c>
      <c r="AE19" s="459" t="str">
        <f>IFERROR(INDEX(Reit!I$8:I$62,MATCH(AF19,Reit!F$8:F$62,0)),"")</f>
        <v/>
      </c>
      <c r="AF19" s="460" t="str">
        <f t="shared" si="5"/>
        <v/>
      </c>
      <c r="AG19" s="459" t="str">
        <f>IFERROR(INDEX(Reit!I$8:I$62,MATCH(AH19,Reit!F$8:F$62,0)),"")</f>
        <v/>
      </c>
      <c r="AH19" s="460" t="str">
        <f t="shared" si="6"/>
        <v/>
      </c>
      <c r="AI19" s="459" t="str">
        <f>IFERROR(INDEX(Reit!I$8:I$62,MATCH(AJ19,Reit!F$8:F$62,0)),"")</f>
        <v/>
      </c>
      <c r="AJ19" s="460" t="str">
        <f t="shared" si="7"/>
        <v/>
      </c>
      <c r="AK19" s="459" t="str">
        <f>IFERROR(INDEX(Reit!I$8:I$62,MATCH(AL19,Reit!F$8:F$62,0)),"")</f>
        <v/>
      </c>
      <c r="AL19" s="460" t="str">
        <f t="shared" si="8"/>
        <v/>
      </c>
      <c r="AM19" s="403"/>
    </row>
    <row r="20" spans="1:39" x14ac:dyDescent="0.2">
      <c r="A20" s="435">
        <v>13</v>
      </c>
      <c r="B20" s="436"/>
      <c r="C20" s="437"/>
      <c r="D20" s="438" t="s">
        <v>246</v>
      </c>
      <c r="E20" s="439"/>
      <c r="F20" s="440"/>
      <c r="G20" s="437"/>
      <c r="H20" s="438" t="s">
        <v>246</v>
      </c>
      <c r="I20" s="439"/>
      <c r="J20" s="440"/>
      <c r="K20" s="437"/>
      <c r="L20" s="438" t="s">
        <v>246</v>
      </c>
      <c r="M20" s="439"/>
      <c r="N20" s="440"/>
      <c r="O20" s="437"/>
      <c r="P20" s="438" t="s">
        <v>246</v>
      </c>
      <c r="Q20" s="439"/>
      <c r="R20" s="440"/>
      <c r="S20" s="437"/>
      <c r="T20" s="438" t="s">
        <v>246</v>
      </c>
      <c r="U20" s="439"/>
      <c r="V20" s="440"/>
      <c r="W20" s="441">
        <f t="shared" si="0"/>
        <v>0</v>
      </c>
      <c r="X20" s="442"/>
      <c r="Y20" s="437">
        <f t="shared" si="1"/>
        <v>0</v>
      </c>
      <c r="Z20" s="438" t="s">
        <v>246</v>
      </c>
      <c r="AA20" s="443">
        <f t="shared" si="2"/>
        <v>0</v>
      </c>
      <c r="AB20" s="444">
        <f t="shared" si="3"/>
        <v>0</v>
      </c>
      <c r="AC20" s="445"/>
      <c r="AD20" s="458">
        <f t="shared" si="4"/>
        <v>0</v>
      </c>
      <c r="AE20" s="459" t="str">
        <f>IFERROR(INDEX(Reit!I$8:I$62,MATCH(AF20,Reit!F$8:F$62,0)),"")</f>
        <v/>
      </c>
      <c r="AF20" s="460" t="str">
        <f t="shared" si="5"/>
        <v/>
      </c>
      <c r="AG20" s="459" t="str">
        <f>IFERROR(INDEX(Reit!I$8:I$62,MATCH(AH20,Reit!F$8:F$62,0)),"")</f>
        <v/>
      </c>
      <c r="AH20" s="460" t="str">
        <f t="shared" si="6"/>
        <v/>
      </c>
      <c r="AI20" s="459" t="str">
        <f>IFERROR(INDEX(Reit!I$8:I$62,MATCH(AJ20,Reit!F$8:F$62,0)),"")</f>
        <v/>
      </c>
      <c r="AJ20" s="460" t="str">
        <f t="shared" si="7"/>
        <v/>
      </c>
      <c r="AK20" s="459" t="str">
        <f>IFERROR(INDEX(Reit!I$8:I$62,MATCH(AL20,Reit!F$8:F$62,0)),"")</f>
        <v/>
      </c>
      <c r="AL20" s="460" t="str">
        <f t="shared" si="8"/>
        <v/>
      </c>
      <c r="AM20" s="403"/>
    </row>
    <row r="21" spans="1:39" x14ac:dyDescent="0.2">
      <c r="A21" s="435">
        <v>14</v>
      </c>
      <c r="B21" s="446"/>
      <c r="C21" s="437"/>
      <c r="D21" s="438" t="s">
        <v>246</v>
      </c>
      <c r="E21" s="439"/>
      <c r="F21" s="440"/>
      <c r="G21" s="437"/>
      <c r="H21" s="438" t="s">
        <v>246</v>
      </c>
      <c r="I21" s="439"/>
      <c r="J21" s="440"/>
      <c r="K21" s="437"/>
      <c r="L21" s="438" t="s">
        <v>246</v>
      </c>
      <c r="M21" s="439"/>
      <c r="N21" s="440"/>
      <c r="O21" s="437"/>
      <c r="P21" s="438" t="s">
        <v>246</v>
      </c>
      <c r="Q21" s="439"/>
      <c r="R21" s="440"/>
      <c r="S21" s="437"/>
      <c r="T21" s="438" t="s">
        <v>246</v>
      </c>
      <c r="U21" s="439"/>
      <c r="V21" s="440"/>
      <c r="W21" s="441">
        <f t="shared" si="0"/>
        <v>0</v>
      </c>
      <c r="X21" s="442"/>
      <c r="Y21" s="437">
        <f t="shared" si="1"/>
        <v>0</v>
      </c>
      <c r="Z21" s="438" t="s">
        <v>246</v>
      </c>
      <c r="AA21" s="443">
        <f t="shared" si="2"/>
        <v>0</v>
      </c>
      <c r="AB21" s="444">
        <f t="shared" si="3"/>
        <v>0</v>
      </c>
      <c r="AC21" s="445"/>
      <c r="AD21" s="458">
        <f t="shared" si="4"/>
        <v>0</v>
      </c>
      <c r="AE21" s="459" t="str">
        <f>IFERROR(INDEX(Reit!I$8:I$62,MATCH(AF21,Reit!F$8:F$62,0)),"")</f>
        <v/>
      </c>
      <c r="AF21" s="460" t="str">
        <f t="shared" si="5"/>
        <v/>
      </c>
      <c r="AG21" s="459" t="str">
        <f>IFERROR(INDEX(Reit!I$8:I$62,MATCH(AH21,Reit!F$8:F$62,0)),"")</f>
        <v/>
      </c>
      <c r="AH21" s="460" t="str">
        <f t="shared" si="6"/>
        <v/>
      </c>
      <c r="AI21" s="459" t="str">
        <f>IFERROR(INDEX(Reit!I$8:I$62,MATCH(AJ21,Reit!F$8:F$62,0)),"")</f>
        <v/>
      </c>
      <c r="AJ21" s="460" t="str">
        <f t="shared" si="7"/>
        <v/>
      </c>
      <c r="AK21" s="459" t="str">
        <f>IFERROR(INDEX(Reit!I$8:I$62,MATCH(AL21,Reit!F$8:F$62,0)),"")</f>
        <v/>
      </c>
      <c r="AL21" s="460" t="str">
        <f t="shared" si="8"/>
        <v/>
      </c>
      <c r="AM21" s="403"/>
    </row>
    <row r="22" spans="1:39" x14ac:dyDescent="0.2">
      <c r="A22" s="435">
        <v>15</v>
      </c>
      <c r="B22" s="446"/>
      <c r="C22" s="437"/>
      <c r="D22" s="438" t="s">
        <v>246</v>
      </c>
      <c r="E22" s="439"/>
      <c r="F22" s="440"/>
      <c r="G22" s="437"/>
      <c r="H22" s="438" t="s">
        <v>246</v>
      </c>
      <c r="I22" s="439"/>
      <c r="J22" s="440"/>
      <c r="K22" s="437"/>
      <c r="L22" s="438" t="s">
        <v>246</v>
      </c>
      <c r="M22" s="439"/>
      <c r="N22" s="440"/>
      <c r="O22" s="437"/>
      <c r="P22" s="438" t="s">
        <v>246</v>
      </c>
      <c r="Q22" s="439"/>
      <c r="R22" s="440"/>
      <c r="S22" s="437"/>
      <c r="T22" s="438" t="s">
        <v>246</v>
      </c>
      <c r="U22" s="439"/>
      <c r="V22" s="440"/>
      <c r="W22" s="441">
        <f t="shared" si="0"/>
        <v>0</v>
      </c>
      <c r="X22" s="442"/>
      <c r="Y22" s="437">
        <f t="shared" si="1"/>
        <v>0</v>
      </c>
      <c r="Z22" s="438" t="s">
        <v>246</v>
      </c>
      <c r="AA22" s="443">
        <f t="shared" si="2"/>
        <v>0</v>
      </c>
      <c r="AB22" s="444">
        <f t="shared" si="3"/>
        <v>0</v>
      </c>
      <c r="AC22" s="445"/>
      <c r="AD22" s="458">
        <f t="shared" si="4"/>
        <v>0</v>
      </c>
      <c r="AE22" s="459" t="str">
        <f>IFERROR(INDEX(Reit!I$8:I$62,MATCH(AF22,Reit!F$8:F$62,0)),"")</f>
        <v/>
      </c>
      <c r="AF22" s="460" t="str">
        <f t="shared" si="5"/>
        <v/>
      </c>
      <c r="AG22" s="459" t="str">
        <f>IFERROR(INDEX(Reit!I$8:I$62,MATCH(AH22,Reit!F$8:F$62,0)),"")</f>
        <v/>
      </c>
      <c r="AH22" s="460" t="str">
        <f t="shared" si="6"/>
        <v/>
      </c>
      <c r="AI22" s="459" t="str">
        <f>IFERROR(INDEX(Reit!I$8:I$62,MATCH(AJ22,Reit!F$8:F$62,0)),"")</f>
        <v/>
      </c>
      <c r="AJ22" s="460" t="str">
        <f t="shared" si="7"/>
        <v/>
      </c>
      <c r="AK22" s="459" t="str">
        <f>IFERROR(INDEX(Reit!I$8:I$62,MATCH(AL22,Reit!F$8:F$62,0)),"")</f>
        <v/>
      </c>
      <c r="AL22" s="460" t="str">
        <f t="shared" si="8"/>
        <v/>
      </c>
      <c r="AM22" s="403"/>
    </row>
    <row r="23" spans="1:39" x14ac:dyDescent="0.2">
      <c r="A23" s="435">
        <v>16</v>
      </c>
      <c r="B23" s="436"/>
      <c r="C23" s="437"/>
      <c r="D23" s="438" t="s">
        <v>246</v>
      </c>
      <c r="E23" s="439"/>
      <c r="F23" s="440"/>
      <c r="G23" s="437"/>
      <c r="H23" s="438" t="s">
        <v>246</v>
      </c>
      <c r="I23" s="439"/>
      <c r="J23" s="440"/>
      <c r="K23" s="437"/>
      <c r="L23" s="438" t="s">
        <v>246</v>
      </c>
      <c r="M23" s="439"/>
      <c r="N23" s="440"/>
      <c r="O23" s="437"/>
      <c r="P23" s="438" t="s">
        <v>246</v>
      </c>
      <c r="Q23" s="439"/>
      <c r="R23" s="440"/>
      <c r="S23" s="437"/>
      <c r="T23" s="438" t="s">
        <v>246</v>
      </c>
      <c r="U23" s="439"/>
      <c r="V23" s="440"/>
      <c r="W23" s="441">
        <f t="shared" si="0"/>
        <v>0</v>
      </c>
      <c r="X23" s="442"/>
      <c r="Y23" s="437">
        <f t="shared" si="1"/>
        <v>0</v>
      </c>
      <c r="Z23" s="438" t="s">
        <v>246</v>
      </c>
      <c r="AA23" s="443">
        <f t="shared" si="2"/>
        <v>0</v>
      </c>
      <c r="AB23" s="444">
        <f t="shared" si="3"/>
        <v>0</v>
      </c>
      <c r="AC23" s="445"/>
      <c r="AD23" s="458">
        <f t="shared" si="4"/>
        <v>0</v>
      </c>
      <c r="AE23" s="459" t="str">
        <f>IFERROR(INDEX(Reit!I$8:I$62,MATCH(AF23,Reit!F$8:F$62,0)),"")</f>
        <v/>
      </c>
      <c r="AF23" s="460" t="str">
        <f t="shared" si="5"/>
        <v/>
      </c>
      <c r="AG23" s="459" t="str">
        <f>IFERROR(INDEX(Reit!I$8:I$62,MATCH(AH23,Reit!F$8:F$62,0)),"")</f>
        <v/>
      </c>
      <c r="AH23" s="460" t="str">
        <f t="shared" si="6"/>
        <v/>
      </c>
      <c r="AI23" s="459" t="str">
        <f>IFERROR(INDEX(Reit!I$8:I$62,MATCH(AJ23,Reit!F$8:F$62,0)),"")</f>
        <v/>
      </c>
      <c r="AJ23" s="460" t="str">
        <f t="shared" si="7"/>
        <v/>
      </c>
      <c r="AK23" s="459" t="str">
        <f>IFERROR(INDEX(Reit!I$8:I$62,MATCH(AL23,Reit!F$8:F$62,0)),"")</f>
        <v/>
      </c>
      <c r="AL23" s="460" t="str">
        <f t="shared" si="8"/>
        <v/>
      </c>
      <c r="AM23" s="403"/>
    </row>
    <row r="24" spans="1:39" x14ac:dyDescent="0.2">
      <c r="A24" s="435">
        <v>17</v>
      </c>
      <c r="B24" s="446"/>
      <c r="C24" s="437"/>
      <c r="D24" s="438" t="s">
        <v>246</v>
      </c>
      <c r="E24" s="439"/>
      <c r="F24" s="440"/>
      <c r="G24" s="437"/>
      <c r="H24" s="438" t="s">
        <v>246</v>
      </c>
      <c r="I24" s="439"/>
      <c r="J24" s="440"/>
      <c r="K24" s="437"/>
      <c r="L24" s="438" t="s">
        <v>246</v>
      </c>
      <c r="M24" s="439"/>
      <c r="N24" s="440"/>
      <c r="O24" s="437"/>
      <c r="P24" s="438" t="s">
        <v>246</v>
      </c>
      <c r="Q24" s="439"/>
      <c r="R24" s="440"/>
      <c r="S24" s="437"/>
      <c r="T24" s="438" t="s">
        <v>246</v>
      </c>
      <c r="U24" s="439"/>
      <c r="V24" s="440"/>
      <c r="W24" s="441">
        <f t="shared" si="0"/>
        <v>0</v>
      </c>
      <c r="X24" s="442"/>
      <c r="Y24" s="437">
        <f t="shared" si="1"/>
        <v>0</v>
      </c>
      <c r="Z24" s="438" t="s">
        <v>246</v>
      </c>
      <c r="AA24" s="443">
        <f t="shared" si="2"/>
        <v>0</v>
      </c>
      <c r="AB24" s="444">
        <f t="shared" si="3"/>
        <v>0</v>
      </c>
      <c r="AC24" s="445"/>
      <c r="AD24" s="458">
        <f t="shared" si="4"/>
        <v>0</v>
      </c>
      <c r="AE24" s="459" t="str">
        <f>IFERROR(INDEX(Reit!I$8:I$62,MATCH(AF24,Reit!F$8:F$62,0)),"")</f>
        <v/>
      </c>
      <c r="AF24" s="460" t="str">
        <f t="shared" si="5"/>
        <v/>
      </c>
      <c r="AG24" s="459" t="str">
        <f>IFERROR(INDEX(Reit!I$8:I$62,MATCH(AH24,Reit!F$8:F$62,0)),"")</f>
        <v/>
      </c>
      <c r="AH24" s="460" t="str">
        <f t="shared" si="6"/>
        <v/>
      </c>
      <c r="AI24" s="459" t="str">
        <f>IFERROR(INDEX(Reit!I$8:I$62,MATCH(AJ24,Reit!F$8:F$62,0)),"")</f>
        <v/>
      </c>
      <c r="AJ24" s="460" t="str">
        <f t="shared" si="7"/>
        <v/>
      </c>
      <c r="AK24" s="459" t="str">
        <f>IFERROR(INDEX(Reit!I$8:I$62,MATCH(AL24,Reit!F$8:F$62,0)),"")</f>
        <v/>
      </c>
      <c r="AL24" s="460" t="str">
        <f t="shared" si="8"/>
        <v/>
      </c>
      <c r="AM24" s="403"/>
    </row>
    <row r="25" spans="1:39" x14ac:dyDescent="0.2">
      <c r="A25" s="435">
        <v>18</v>
      </c>
      <c r="B25" s="446"/>
      <c r="C25" s="437"/>
      <c r="D25" s="438" t="s">
        <v>246</v>
      </c>
      <c r="E25" s="439"/>
      <c r="F25" s="440"/>
      <c r="G25" s="437"/>
      <c r="H25" s="438" t="s">
        <v>246</v>
      </c>
      <c r="I25" s="439"/>
      <c r="J25" s="440"/>
      <c r="K25" s="437"/>
      <c r="L25" s="438" t="s">
        <v>246</v>
      </c>
      <c r="M25" s="439"/>
      <c r="N25" s="440"/>
      <c r="O25" s="437"/>
      <c r="P25" s="438" t="s">
        <v>246</v>
      </c>
      <c r="Q25" s="439"/>
      <c r="R25" s="440"/>
      <c r="S25" s="437"/>
      <c r="T25" s="438" t="s">
        <v>246</v>
      </c>
      <c r="U25" s="439"/>
      <c r="V25" s="440"/>
      <c r="W25" s="441">
        <f t="shared" si="0"/>
        <v>0</v>
      </c>
      <c r="X25" s="442"/>
      <c r="Y25" s="437">
        <f t="shared" si="1"/>
        <v>0</v>
      </c>
      <c r="Z25" s="438" t="s">
        <v>246</v>
      </c>
      <c r="AA25" s="443">
        <f t="shared" si="2"/>
        <v>0</v>
      </c>
      <c r="AB25" s="444">
        <f t="shared" si="3"/>
        <v>0</v>
      </c>
      <c r="AC25" s="445"/>
      <c r="AD25" s="458">
        <f t="shared" si="4"/>
        <v>0</v>
      </c>
      <c r="AE25" s="459" t="str">
        <f>IFERROR(INDEX(Reit!I$8:I$62,MATCH(AF25,Reit!F$8:F$62,0)),"")</f>
        <v/>
      </c>
      <c r="AF25" s="460" t="str">
        <f t="shared" si="5"/>
        <v/>
      </c>
      <c r="AG25" s="459" t="str">
        <f>IFERROR(INDEX(Reit!I$8:I$62,MATCH(AH25,Reit!F$8:F$62,0)),"")</f>
        <v/>
      </c>
      <c r="AH25" s="460" t="str">
        <f t="shared" si="6"/>
        <v/>
      </c>
      <c r="AI25" s="459" t="str">
        <f>IFERROR(INDEX(Reit!I$8:I$62,MATCH(AJ25,Reit!F$8:F$62,0)),"")</f>
        <v/>
      </c>
      <c r="AJ25" s="460" t="str">
        <f t="shared" si="7"/>
        <v/>
      </c>
      <c r="AK25" s="459" t="str">
        <f>IFERROR(INDEX(Reit!I$8:I$62,MATCH(AL25,Reit!F$8:F$62,0)),"")</f>
        <v/>
      </c>
      <c r="AL25" s="460" t="str">
        <f t="shared" si="8"/>
        <v/>
      </c>
      <c r="AM25" s="403"/>
    </row>
    <row r="26" spans="1:39" x14ac:dyDescent="0.2">
      <c r="A26" s="435">
        <v>19</v>
      </c>
      <c r="B26" s="436"/>
      <c r="C26" s="437"/>
      <c r="D26" s="438" t="s">
        <v>246</v>
      </c>
      <c r="E26" s="439"/>
      <c r="F26" s="440"/>
      <c r="G26" s="437"/>
      <c r="H26" s="438" t="s">
        <v>246</v>
      </c>
      <c r="I26" s="439"/>
      <c r="J26" s="440"/>
      <c r="K26" s="437"/>
      <c r="L26" s="438" t="s">
        <v>246</v>
      </c>
      <c r="M26" s="439"/>
      <c r="N26" s="440"/>
      <c r="O26" s="437"/>
      <c r="P26" s="438" t="s">
        <v>246</v>
      </c>
      <c r="Q26" s="439"/>
      <c r="R26" s="440"/>
      <c r="S26" s="437"/>
      <c r="T26" s="438" t="s">
        <v>246</v>
      </c>
      <c r="U26" s="439"/>
      <c r="V26" s="440"/>
      <c r="W26" s="441">
        <f t="shared" si="0"/>
        <v>0</v>
      </c>
      <c r="X26" s="442"/>
      <c r="Y26" s="437">
        <f t="shared" si="1"/>
        <v>0</v>
      </c>
      <c r="Z26" s="438" t="s">
        <v>246</v>
      </c>
      <c r="AA26" s="443">
        <f t="shared" si="2"/>
        <v>0</v>
      </c>
      <c r="AB26" s="444">
        <f t="shared" si="3"/>
        <v>0</v>
      </c>
      <c r="AC26" s="445"/>
      <c r="AD26" s="458">
        <f t="shared" si="4"/>
        <v>0</v>
      </c>
      <c r="AE26" s="459" t="str">
        <f>IFERROR(INDEX(Reit!I$8:I$62,MATCH(AF26,Reit!F$8:F$62,0)),"")</f>
        <v/>
      </c>
      <c r="AF26" s="460" t="str">
        <f t="shared" si="5"/>
        <v/>
      </c>
      <c r="AG26" s="459" t="str">
        <f>IFERROR(INDEX(Reit!I$8:I$62,MATCH(AH26,Reit!F$8:F$62,0)),"")</f>
        <v/>
      </c>
      <c r="AH26" s="460" t="str">
        <f t="shared" si="6"/>
        <v/>
      </c>
      <c r="AI26" s="459" t="str">
        <f>IFERROR(INDEX(Reit!I$8:I$62,MATCH(AJ26,Reit!F$8:F$62,0)),"")</f>
        <v/>
      </c>
      <c r="AJ26" s="460" t="str">
        <f t="shared" si="7"/>
        <v/>
      </c>
      <c r="AK26" s="459" t="str">
        <f>IFERROR(INDEX(Reit!I$8:I$62,MATCH(AL26,Reit!F$8:F$62,0)),"")</f>
        <v/>
      </c>
      <c r="AL26" s="460" t="str">
        <f t="shared" si="8"/>
        <v/>
      </c>
      <c r="AM26" s="403"/>
    </row>
    <row r="27" spans="1:39" x14ac:dyDescent="0.2">
      <c r="A27" s="435">
        <v>20</v>
      </c>
      <c r="B27" s="446"/>
      <c r="C27" s="437"/>
      <c r="D27" s="438" t="s">
        <v>246</v>
      </c>
      <c r="E27" s="439"/>
      <c r="F27" s="440"/>
      <c r="G27" s="437"/>
      <c r="H27" s="438" t="s">
        <v>246</v>
      </c>
      <c r="I27" s="439"/>
      <c r="J27" s="440"/>
      <c r="K27" s="437"/>
      <c r="L27" s="438" t="s">
        <v>246</v>
      </c>
      <c r="M27" s="439"/>
      <c r="N27" s="440"/>
      <c r="O27" s="437"/>
      <c r="P27" s="438" t="s">
        <v>246</v>
      </c>
      <c r="Q27" s="439"/>
      <c r="R27" s="440"/>
      <c r="S27" s="437"/>
      <c r="T27" s="438" t="s">
        <v>246</v>
      </c>
      <c r="U27" s="439"/>
      <c r="V27" s="440"/>
      <c r="W27" s="441">
        <f t="shared" si="0"/>
        <v>0</v>
      </c>
      <c r="X27" s="442"/>
      <c r="Y27" s="437">
        <f t="shared" si="1"/>
        <v>0</v>
      </c>
      <c r="Z27" s="438" t="s">
        <v>246</v>
      </c>
      <c r="AA27" s="443">
        <f t="shared" si="2"/>
        <v>0</v>
      </c>
      <c r="AB27" s="444">
        <f t="shared" si="3"/>
        <v>0</v>
      </c>
      <c r="AC27" s="445"/>
      <c r="AD27" s="458">
        <f t="shared" si="4"/>
        <v>0</v>
      </c>
      <c r="AE27" s="459" t="str">
        <f>IFERROR(INDEX(Reit!I$8:I$62,MATCH(AF27,Reit!F$8:F$62,0)),"")</f>
        <v/>
      </c>
      <c r="AF27" s="460" t="str">
        <f t="shared" si="5"/>
        <v/>
      </c>
      <c r="AG27" s="459" t="str">
        <f>IFERROR(INDEX(Reit!I$8:I$62,MATCH(AH27,Reit!F$8:F$62,0)),"")</f>
        <v/>
      </c>
      <c r="AH27" s="460" t="str">
        <f t="shared" si="6"/>
        <v/>
      </c>
      <c r="AI27" s="459" t="str">
        <f>IFERROR(INDEX(Reit!I$8:I$62,MATCH(AJ27,Reit!F$8:F$62,0)),"")</f>
        <v/>
      </c>
      <c r="AJ27" s="460" t="str">
        <f t="shared" si="7"/>
        <v/>
      </c>
      <c r="AK27" s="459" t="str">
        <f>IFERROR(INDEX(Reit!I$8:I$62,MATCH(AL27,Reit!F$8:F$62,0)),"")</f>
        <v/>
      </c>
      <c r="AL27" s="460" t="str">
        <f t="shared" si="8"/>
        <v/>
      </c>
      <c r="AM27" s="403"/>
    </row>
    <row r="28" spans="1:39" x14ac:dyDescent="0.2">
      <c r="A28" s="435">
        <v>21</v>
      </c>
      <c r="B28" s="436"/>
      <c r="C28" s="437"/>
      <c r="D28" s="438" t="s">
        <v>246</v>
      </c>
      <c r="E28" s="439"/>
      <c r="F28" s="440"/>
      <c r="G28" s="437"/>
      <c r="H28" s="438" t="s">
        <v>246</v>
      </c>
      <c r="I28" s="439"/>
      <c r="J28" s="440"/>
      <c r="K28" s="437"/>
      <c r="L28" s="438" t="s">
        <v>246</v>
      </c>
      <c r="M28" s="439"/>
      <c r="N28" s="440"/>
      <c r="O28" s="437"/>
      <c r="P28" s="438" t="s">
        <v>246</v>
      </c>
      <c r="Q28" s="439"/>
      <c r="R28" s="440"/>
      <c r="S28" s="437"/>
      <c r="T28" s="438" t="s">
        <v>246</v>
      </c>
      <c r="U28" s="439"/>
      <c r="V28" s="440"/>
      <c r="W28" s="441">
        <f>IF(C28&gt;E28,J$3,IF(C28&lt;E28,J$5,IF(ISNUMBER(C28),J$4,0)))+IF(G28&gt;I28,J$3,IF(G28&lt;I28,J$5,IF(ISNUMBER(G28),J$4,0)))+IF(K28&gt;M28,J$3,IF(K28&lt;M28,J$5,IF(ISNUMBER(K28),J$4,0)))+IF(O28&gt;Q28,J$3,IF(O28&lt;Q28,J$5,IF(ISNUMBER(O28),J$4,0)))+IF(S28&gt;U28,J$3,IF(S28&lt;U28,J$5,IF(ISNUMBER(S28),J$4,0)))</f>
        <v>0</v>
      </c>
      <c r="X28" s="442"/>
      <c r="Y28" s="437">
        <f>C28+G28+K28+O28+S28</f>
        <v>0</v>
      </c>
      <c r="Z28" s="438" t="s">
        <v>246</v>
      </c>
      <c r="AA28" s="443">
        <f>E28+I28+M28+Q28+U28</f>
        <v>0</v>
      </c>
      <c r="AB28" s="444">
        <f>Y28-AA28</f>
        <v>0</v>
      </c>
      <c r="AC28" s="445"/>
      <c r="AD28" s="458">
        <f t="shared" si="4"/>
        <v>0</v>
      </c>
      <c r="AE28" s="459" t="str">
        <f>IFERROR(INDEX(Reit!I$8:I$62,MATCH(AF28,Reit!F$8:F$62,0)),"")</f>
        <v/>
      </c>
      <c r="AF28" s="460" t="str">
        <f t="shared" si="5"/>
        <v/>
      </c>
      <c r="AG28" s="459" t="str">
        <f>IFERROR(INDEX(Reit!I$8:I$62,MATCH(AH28,Reit!F$8:F$62,0)),"")</f>
        <v/>
      </c>
      <c r="AH28" s="460" t="str">
        <f t="shared" si="6"/>
        <v/>
      </c>
      <c r="AI28" s="459" t="str">
        <f>IFERROR(INDEX(Reit!I$8:I$62,MATCH(AJ28,Reit!F$8:F$62,0)),"")</f>
        <v/>
      </c>
      <c r="AJ28" s="460" t="str">
        <f t="shared" si="7"/>
        <v/>
      </c>
      <c r="AK28" s="459" t="str">
        <f>IFERROR(INDEX(Reit!I$8:I$62,MATCH(AL28,Reit!F$8:F$62,0)),"")</f>
        <v/>
      </c>
      <c r="AL28" s="460" t="str">
        <f t="shared" si="8"/>
        <v/>
      </c>
      <c r="AM28" s="403"/>
    </row>
    <row r="29" spans="1:39" x14ac:dyDescent="0.2">
      <c r="A29" s="435">
        <v>22</v>
      </c>
      <c r="B29" s="446"/>
      <c r="C29" s="437"/>
      <c r="D29" s="438" t="s">
        <v>246</v>
      </c>
      <c r="E29" s="439"/>
      <c r="F29" s="440"/>
      <c r="G29" s="437"/>
      <c r="H29" s="438" t="s">
        <v>246</v>
      </c>
      <c r="I29" s="439"/>
      <c r="J29" s="440"/>
      <c r="K29" s="437"/>
      <c r="L29" s="438" t="s">
        <v>246</v>
      </c>
      <c r="M29" s="439"/>
      <c r="N29" s="440"/>
      <c r="O29" s="437"/>
      <c r="P29" s="438" t="s">
        <v>246</v>
      </c>
      <c r="Q29" s="439"/>
      <c r="R29" s="440"/>
      <c r="S29" s="437"/>
      <c r="T29" s="438" t="s">
        <v>246</v>
      </c>
      <c r="U29" s="439"/>
      <c r="V29" s="440"/>
      <c r="W29" s="441">
        <f>IF(C29&gt;E29,J$3,IF(C29&lt;E29,J$5,IF(ISNUMBER(C29),J$4,0)))+IF(G29&gt;I29,J$3,IF(G29&lt;I29,J$5,IF(ISNUMBER(G29),J$4,0)))+IF(K29&gt;M29,J$3,IF(K29&lt;M29,J$5,IF(ISNUMBER(K29),J$4,0)))+IF(O29&gt;Q29,J$3,IF(O29&lt;Q29,J$5,IF(ISNUMBER(O29),J$4,0)))+IF(S29&gt;U29,J$3,IF(S29&lt;U29,J$5,IF(ISNUMBER(S29),J$4,0)))</f>
        <v>0</v>
      </c>
      <c r="X29" s="442"/>
      <c r="Y29" s="437">
        <f>C29+G29+K29+O29+S29</f>
        <v>0</v>
      </c>
      <c r="Z29" s="438" t="s">
        <v>246</v>
      </c>
      <c r="AA29" s="443">
        <f>E29+I29+M29+Q29+U29</f>
        <v>0</v>
      </c>
      <c r="AB29" s="444">
        <f>Y29-AA29</f>
        <v>0</v>
      </c>
      <c r="AC29" s="445"/>
      <c r="AD29" s="458">
        <f t="shared" si="4"/>
        <v>0</v>
      </c>
      <c r="AE29" s="459" t="str">
        <f>IFERROR(INDEX(Reit!I$8:I$62,MATCH(AF29,Reit!F$8:F$62,0)),"")</f>
        <v/>
      </c>
      <c r="AF29" s="460" t="str">
        <f t="shared" si="5"/>
        <v/>
      </c>
      <c r="AG29" s="459" t="str">
        <f>IFERROR(INDEX(Reit!I$8:I$62,MATCH(AH29,Reit!F$8:F$62,0)),"")</f>
        <v/>
      </c>
      <c r="AH29" s="460" t="str">
        <f t="shared" si="6"/>
        <v/>
      </c>
      <c r="AI29" s="459" t="str">
        <f>IFERROR(INDEX(Reit!I$8:I$62,MATCH(AJ29,Reit!F$8:F$62,0)),"")</f>
        <v/>
      </c>
      <c r="AJ29" s="460" t="str">
        <f t="shared" si="7"/>
        <v/>
      </c>
      <c r="AK29" s="459" t="str">
        <f>IFERROR(INDEX(Reit!I$8:I$62,MATCH(AL29,Reit!F$8:F$62,0)),"")</f>
        <v/>
      </c>
      <c r="AL29" s="460" t="str">
        <f t="shared" si="8"/>
        <v/>
      </c>
      <c r="AM29" s="403"/>
    </row>
    <row r="30" spans="1:39" x14ac:dyDescent="0.2">
      <c r="A30" s="435">
        <v>23</v>
      </c>
      <c r="B30" s="436"/>
      <c r="C30" s="437"/>
      <c r="D30" s="438" t="s">
        <v>246</v>
      </c>
      <c r="E30" s="439"/>
      <c r="F30" s="440"/>
      <c r="G30" s="437"/>
      <c r="H30" s="438" t="s">
        <v>246</v>
      </c>
      <c r="I30" s="439"/>
      <c r="J30" s="440"/>
      <c r="K30" s="437"/>
      <c r="L30" s="438" t="s">
        <v>246</v>
      </c>
      <c r="M30" s="439"/>
      <c r="N30" s="440"/>
      <c r="O30" s="437"/>
      <c r="P30" s="438" t="s">
        <v>246</v>
      </c>
      <c r="Q30" s="439"/>
      <c r="R30" s="440"/>
      <c r="S30" s="437"/>
      <c r="T30" s="438" t="s">
        <v>246</v>
      </c>
      <c r="U30" s="439"/>
      <c r="V30" s="440"/>
      <c r="W30" s="441">
        <f>IF(C30&gt;E30,J$3,IF(C30&lt;E30,J$5,IF(ISNUMBER(C30),J$4,0)))+IF(G30&gt;I30,J$3,IF(G30&lt;I30,J$5,IF(ISNUMBER(G30),J$4,0)))+IF(K30&gt;M30,J$3,IF(K30&lt;M30,J$5,IF(ISNUMBER(K30),J$4,0)))+IF(O30&gt;Q30,J$3,IF(O30&lt;Q30,J$5,IF(ISNUMBER(O30),J$4,0)))+IF(S30&gt;U30,J$3,IF(S30&lt;U30,J$5,IF(ISNUMBER(S30),J$4,0)))</f>
        <v>0</v>
      </c>
      <c r="X30" s="442"/>
      <c r="Y30" s="437">
        <f>C30+G30+K30+O30+S30</f>
        <v>0</v>
      </c>
      <c r="Z30" s="438" t="s">
        <v>246</v>
      </c>
      <c r="AA30" s="443">
        <f>E30+I30+M30+Q30+U30</f>
        <v>0</v>
      </c>
      <c r="AB30" s="444">
        <f>Y30-AA30</f>
        <v>0</v>
      </c>
      <c r="AC30" s="445"/>
      <c r="AD30" s="458">
        <f t="shared" si="4"/>
        <v>0</v>
      </c>
      <c r="AE30" s="459" t="str">
        <f>IFERROR(INDEX(Reit!I$8:I$62,MATCH(AF30,Reit!F$8:F$62,0)),"")</f>
        <v/>
      </c>
      <c r="AF30" s="460" t="str">
        <f t="shared" si="5"/>
        <v/>
      </c>
      <c r="AG30" s="459" t="str">
        <f>IFERROR(INDEX(Reit!I$8:I$62,MATCH(AH30,Reit!F$8:F$62,0)),"")</f>
        <v/>
      </c>
      <c r="AH30" s="460" t="str">
        <f t="shared" si="6"/>
        <v/>
      </c>
      <c r="AI30" s="459" t="str">
        <f>IFERROR(INDEX(Reit!I$8:I$62,MATCH(AJ30,Reit!F$8:F$62,0)),"")</f>
        <v/>
      </c>
      <c r="AJ30" s="460" t="str">
        <f t="shared" si="7"/>
        <v/>
      </c>
      <c r="AK30" s="459" t="str">
        <f>IFERROR(INDEX(Reit!I$8:I$62,MATCH(AL30,Reit!F$8:F$62,0)),"")</f>
        <v/>
      </c>
      <c r="AL30" s="460" t="str">
        <f t="shared" si="8"/>
        <v/>
      </c>
      <c r="AM30" s="403"/>
    </row>
    <row r="31" spans="1:39" x14ac:dyDescent="0.2">
      <c r="A31" s="435">
        <v>24</v>
      </c>
      <c r="B31" s="446"/>
      <c r="C31" s="437"/>
      <c r="D31" s="438" t="s">
        <v>246</v>
      </c>
      <c r="E31" s="439"/>
      <c r="F31" s="440"/>
      <c r="G31" s="437"/>
      <c r="H31" s="438" t="s">
        <v>246</v>
      </c>
      <c r="I31" s="439"/>
      <c r="J31" s="440"/>
      <c r="K31" s="437"/>
      <c r="L31" s="438" t="s">
        <v>246</v>
      </c>
      <c r="M31" s="439"/>
      <c r="N31" s="440"/>
      <c r="O31" s="437"/>
      <c r="P31" s="438" t="s">
        <v>246</v>
      </c>
      <c r="Q31" s="439"/>
      <c r="R31" s="440"/>
      <c r="S31" s="437"/>
      <c r="T31" s="438" t="s">
        <v>246</v>
      </c>
      <c r="U31" s="439"/>
      <c r="V31" s="440"/>
      <c r="W31" s="441">
        <f>IF(C31&gt;E31,J$3,IF(C31&lt;E31,J$5,IF(ISNUMBER(C31),J$4,0)))+IF(G31&gt;I31,J$3,IF(G31&lt;I31,J$5,IF(ISNUMBER(G31),J$4,0)))+IF(K31&gt;M31,J$3,IF(K31&lt;M31,J$5,IF(ISNUMBER(K31),J$4,0)))+IF(O31&gt;Q31,J$3,IF(O31&lt;Q31,J$5,IF(ISNUMBER(O31),J$4,0)))+IF(S31&gt;U31,J$3,IF(S31&lt;U31,J$5,IF(ISNUMBER(S31),J$4,0)))</f>
        <v>0</v>
      </c>
      <c r="X31" s="442"/>
      <c r="Y31" s="437">
        <f>C31+G31+K31+O31+S31</f>
        <v>0</v>
      </c>
      <c r="Z31" s="438" t="s">
        <v>246</v>
      </c>
      <c r="AA31" s="443">
        <f>E31+I31+M31+Q31+U31</f>
        <v>0</v>
      </c>
      <c r="AB31" s="444">
        <f>Y31-AA31</f>
        <v>0</v>
      </c>
      <c r="AC31" s="445"/>
      <c r="AD31" s="458">
        <f t="shared" si="4"/>
        <v>0</v>
      </c>
      <c r="AE31" s="459" t="str">
        <f>IFERROR(INDEX(Reit!I$8:I$62,MATCH(AF31,Reit!F$8:F$62,0)),"")</f>
        <v/>
      </c>
      <c r="AF31" s="460" t="str">
        <f t="shared" si="5"/>
        <v/>
      </c>
      <c r="AG31" s="459" t="str">
        <f>IFERROR(INDEX(Reit!I$8:I$62,MATCH(AH31,Reit!F$8:F$62,0)),"")</f>
        <v/>
      </c>
      <c r="AH31" s="460" t="str">
        <f t="shared" si="6"/>
        <v/>
      </c>
      <c r="AI31" s="459" t="str">
        <f>IFERROR(INDEX(Reit!I$8:I$62,MATCH(AJ31,Reit!F$8:F$62,0)),"")</f>
        <v/>
      </c>
      <c r="AJ31" s="460" t="str">
        <f t="shared" si="7"/>
        <v/>
      </c>
      <c r="AK31" s="459" t="str">
        <f>IFERROR(INDEX(Reit!I$8:I$62,MATCH(AL31,Reit!F$8:F$62,0)),"")</f>
        <v/>
      </c>
      <c r="AL31" s="460" t="str">
        <f t="shared" si="8"/>
        <v/>
      </c>
      <c r="AM31" s="403"/>
    </row>
    <row r="32" spans="1:39"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row>
    <row r="135" spans="1:39"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row>
    <row r="136" spans="1:39"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3"/>
    </row>
    <row r="137" spans="1:39"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c r="AG137" s="403"/>
      <c r="AH137" s="403"/>
      <c r="AI137" s="403"/>
      <c r="AJ137" s="403"/>
      <c r="AK137" s="403"/>
      <c r="AL137" s="403"/>
      <c r="AM137" s="403"/>
    </row>
    <row r="138" spans="1:39"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c r="AG138" s="403"/>
      <c r="AH138" s="403"/>
      <c r="AI138" s="403"/>
      <c r="AJ138" s="403"/>
      <c r="AK138" s="403"/>
      <c r="AL138" s="403"/>
      <c r="AM138" s="403"/>
    </row>
    <row r="139" spans="1:39"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c r="AG139" s="403"/>
      <c r="AH139" s="403"/>
      <c r="AI139" s="403"/>
      <c r="AJ139" s="403"/>
      <c r="AK139" s="403"/>
      <c r="AL139" s="403"/>
      <c r="AM139" s="403"/>
    </row>
    <row r="140" spans="1:39"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c r="AG140" s="403"/>
      <c r="AH140" s="403"/>
      <c r="AI140" s="403"/>
      <c r="AJ140" s="403"/>
      <c r="AK140" s="403"/>
      <c r="AL140" s="403"/>
      <c r="AM140" s="403"/>
    </row>
    <row r="141" spans="1:39" x14ac:dyDescent="0.2">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row>
    <row r="142" spans="1:39" x14ac:dyDescent="0.2">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c r="AA142" s="403"/>
      <c r="AB142" s="403"/>
      <c r="AC142" s="403"/>
      <c r="AD142" s="403"/>
      <c r="AE142" s="403"/>
      <c r="AF142" s="403"/>
      <c r="AG142" s="403"/>
      <c r="AH142" s="403"/>
      <c r="AI142" s="403"/>
      <c r="AJ142" s="403"/>
      <c r="AK142" s="403"/>
      <c r="AL142" s="403"/>
      <c r="AM142" s="403"/>
    </row>
    <row r="143" spans="1:39" x14ac:dyDescent="0.2">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row>
    <row r="144" spans="1:39" x14ac:dyDescent="0.2">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c r="AJ144" s="403"/>
      <c r="AK144" s="403"/>
      <c r="AL144" s="403"/>
      <c r="AM144" s="403"/>
    </row>
    <row r="145" spans="1:39" x14ac:dyDescent="0.2">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403"/>
      <c r="AE145" s="403"/>
      <c r="AF145" s="403"/>
      <c r="AG145" s="403"/>
      <c r="AH145" s="403"/>
      <c r="AI145" s="403"/>
      <c r="AJ145" s="403"/>
      <c r="AK145" s="403"/>
      <c r="AL145" s="403"/>
      <c r="AM145" s="403"/>
    </row>
    <row r="146" spans="1:39" x14ac:dyDescent="0.2">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c r="AA146" s="403"/>
      <c r="AB146" s="403"/>
      <c r="AC146" s="403"/>
      <c r="AD146" s="403"/>
      <c r="AE146" s="403"/>
      <c r="AF146" s="403"/>
      <c r="AG146" s="403"/>
      <c r="AH146" s="403"/>
      <c r="AI146" s="403"/>
      <c r="AJ146" s="403"/>
      <c r="AK146" s="403"/>
      <c r="AL146" s="403"/>
      <c r="AM146" s="403"/>
    </row>
    <row r="147" spans="1:39"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x14ac:dyDescent="0.2">
      <c r="A150" s="403"/>
      <c r="B150" s="403"/>
      <c r="C150" s="403"/>
      <c r="D150" s="403"/>
      <c r="E150" s="403"/>
      <c r="F150" s="403"/>
      <c r="G150" s="403"/>
      <c r="H150" s="403"/>
      <c r="I150" s="403"/>
      <c r="J150" s="403"/>
      <c r="K150" s="403"/>
      <c r="L150" s="407"/>
      <c r="M150" s="407"/>
      <c r="N150" s="407"/>
      <c r="O150" s="403"/>
      <c r="P150" s="403"/>
      <c r="Q150" s="403"/>
      <c r="R150" s="403"/>
      <c r="S150" s="403"/>
      <c r="T150" s="407"/>
      <c r="U150" s="407"/>
      <c r="V150" s="407"/>
      <c r="W150" s="403"/>
      <c r="X150" s="403"/>
      <c r="Y150" s="403"/>
      <c r="Z150" s="403"/>
      <c r="AA150" s="403"/>
      <c r="AB150" s="403"/>
      <c r="AC150" s="403"/>
      <c r="AD150" s="403"/>
      <c r="AE150" s="403"/>
      <c r="AF150" s="403"/>
      <c r="AG150" s="403"/>
      <c r="AH150" s="403"/>
      <c r="AI150" s="403"/>
      <c r="AJ150" s="403"/>
      <c r="AK150" s="403"/>
      <c r="AL150" s="403"/>
      <c r="AM150" s="403"/>
    </row>
    <row r="151" spans="1:39" x14ac:dyDescent="0.2">
      <c r="A151" s="403"/>
      <c r="B151" s="403"/>
      <c r="C151" s="403"/>
      <c r="D151" s="403"/>
      <c r="E151" s="403"/>
      <c r="F151" s="403"/>
      <c r="G151" s="403"/>
      <c r="H151" s="403"/>
      <c r="I151" s="403"/>
      <c r="J151" s="403"/>
      <c r="K151" s="403"/>
      <c r="L151" s="407"/>
      <c r="M151" s="407"/>
      <c r="N151" s="407"/>
      <c r="O151" s="403"/>
      <c r="P151" s="403"/>
      <c r="Q151" s="403"/>
      <c r="R151" s="403"/>
      <c r="S151" s="403"/>
      <c r="T151" s="407"/>
      <c r="U151" s="407"/>
      <c r="V151" s="407"/>
      <c r="W151" s="403"/>
      <c r="X151" s="403"/>
      <c r="Y151" s="403"/>
      <c r="Z151" s="403"/>
      <c r="AA151" s="403"/>
      <c r="AB151" s="403"/>
      <c r="AC151" s="403"/>
      <c r="AD151" s="403"/>
      <c r="AE151" s="403"/>
      <c r="AF151" s="403"/>
      <c r="AG151" s="403"/>
      <c r="AH151" s="403"/>
      <c r="AI151" s="403"/>
      <c r="AJ151" s="403"/>
      <c r="AK151" s="403"/>
      <c r="AL151" s="403"/>
      <c r="AM151" s="403"/>
    </row>
    <row r="152" spans="1:39" x14ac:dyDescent="0.2">
      <c r="A152" s="403"/>
      <c r="B152" s="403"/>
      <c r="C152" s="403"/>
      <c r="D152" s="403"/>
      <c r="E152" s="403"/>
      <c r="F152" s="403"/>
      <c r="G152" s="403"/>
      <c r="H152" s="403"/>
      <c r="I152" s="403"/>
      <c r="J152" s="403"/>
      <c r="K152" s="403"/>
      <c r="L152" s="407"/>
      <c r="M152" s="407"/>
      <c r="N152" s="407"/>
      <c r="O152" s="403"/>
      <c r="P152" s="403"/>
      <c r="Q152" s="403"/>
      <c r="R152" s="403"/>
      <c r="S152" s="403"/>
      <c r="T152" s="407"/>
      <c r="U152" s="407"/>
      <c r="V152" s="407"/>
      <c r="W152" s="403"/>
      <c r="X152" s="403"/>
      <c r="Y152" s="403"/>
      <c r="Z152" s="403"/>
      <c r="AA152" s="403"/>
      <c r="AB152" s="403"/>
      <c r="AC152" s="403"/>
      <c r="AD152" s="403"/>
      <c r="AE152" s="403"/>
      <c r="AF152" s="403"/>
      <c r="AG152" s="403"/>
      <c r="AH152" s="403"/>
      <c r="AI152" s="403"/>
      <c r="AJ152" s="403"/>
      <c r="AK152" s="403"/>
      <c r="AL152" s="403"/>
      <c r="AM152" s="403"/>
    </row>
    <row r="153" spans="1:39" x14ac:dyDescent="0.2">
      <c r="A153" s="403"/>
      <c r="B153" s="403"/>
      <c r="C153" s="403"/>
      <c r="D153" s="403"/>
      <c r="E153" s="403"/>
      <c r="F153" s="403"/>
      <c r="G153" s="403"/>
      <c r="H153" s="403"/>
      <c r="I153" s="403"/>
      <c r="J153" s="403"/>
      <c r="K153" s="403"/>
      <c r="L153" s="407"/>
      <c r="M153" s="407"/>
      <c r="N153" s="407"/>
      <c r="O153" s="403"/>
      <c r="P153" s="403"/>
      <c r="Q153" s="403"/>
      <c r="R153" s="403"/>
      <c r="S153" s="403"/>
      <c r="T153" s="407"/>
      <c r="U153" s="407"/>
      <c r="V153" s="407"/>
      <c r="W153" s="403"/>
      <c r="X153" s="403"/>
      <c r="Y153" s="403"/>
      <c r="Z153" s="403"/>
      <c r="AA153" s="403"/>
      <c r="AB153" s="403"/>
      <c r="AC153" s="403"/>
      <c r="AD153" s="403"/>
      <c r="AE153" s="403"/>
      <c r="AF153" s="403"/>
      <c r="AG153" s="403"/>
      <c r="AH153" s="403"/>
      <c r="AI153" s="403"/>
      <c r="AJ153" s="403"/>
      <c r="AK153" s="403"/>
      <c r="AL153" s="403"/>
      <c r="AM153" s="403"/>
    </row>
    <row r="154" spans="1:39" x14ac:dyDescent="0.2">
      <c r="A154" s="403"/>
      <c r="B154" s="403"/>
      <c r="C154" s="403"/>
      <c r="D154" s="403"/>
      <c r="E154" s="403"/>
      <c r="F154" s="403"/>
      <c r="G154" s="403"/>
      <c r="H154" s="403"/>
      <c r="I154" s="403"/>
      <c r="J154" s="403"/>
      <c r="K154" s="403"/>
      <c r="L154" s="407"/>
      <c r="M154" s="407"/>
      <c r="N154" s="407"/>
      <c r="O154" s="403"/>
      <c r="P154" s="403"/>
      <c r="Q154" s="403"/>
      <c r="R154" s="403"/>
      <c r="S154" s="403"/>
      <c r="T154" s="407"/>
      <c r="U154" s="407"/>
      <c r="V154" s="407"/>
      <c r="W154" s="403"/>
      <c r="X154" s="403"/>
      <c r="Y154" s="403"/>
      <c r="Z154" s="403"/>
      <c r="AA154" s="403"/>
      <c r="AB154" s="403"/>
      <c r="AC154" s="403"/>
      <c r="AD154" s="403"/>
      <c r="AE154" s="403"/>
      <c r="AF154" s="403"/>
      <c r="AG154" s="403"/>
      <c r="AH154" s="403"/>
      <c r="AI154" s="403"/>
      <c r="AJ154" s="403"/>
      <c r="AK154" s="403"/>
      <c r="AL154" s="403"/>
      <c r="AM154" s="403"/>
    </row>
    <row r="155" spans="1:39" x14ac:dyDescent="0.2">
      <c r="A155" s="403"/>
      <c r="B155" s="403"/>
      <c r="C155" s="403"/>
      <c r="D155" s="403"/>
      <c r="E155" s="403"/>
      <c r="F155" s="403"/>
      <c r="G155" s="403"/>
      <c r="H155" s="403"/>
      <c r="I155" s="403"/>
      <c r="J155" s="403"/>
      <c r="K155" s="403"/>
      <c r="L155" s="407"/>
      <c r="M155" s="407"/>
      <c r="N155" s="407"/>
      <c r="O155" s="403"/>
      <c r="P155" s="403"/>
      <c r="Q155" s="403"/>
      <c r="R155" s="403"/>
      <c r="S155" s="403"/>
      <c r="T155" s="407"/>
      <c r="U155" s="407"/>
      <c r="V155" s="407"/>
      <c r="W155" s="403"/>
      <c r="X155" s="403"/>
      <c r="Y155" s="403"/>
      <c r="Z155" s="403"/>
      <c r="AA155" s="403"/>
      <c r="AB155" s="403"/>
      <c r="AC155" s="403"/>
      <c r="AD155" s="403"/>
      <c r="AE155" s="403"/>
      <c r="AF155" s="403"/>
      <c r="AG155" s="403"/>
      <c r="AH155" s="403"/>
      <c r="AI155" s="403"/>
      <c r="AJ155" s="403"/>
      <c r="AK155" s="403"/>
      <c r="AL155" s="403"/>
      <c r="AM155" s="403"/>
    </row>
    <row r="156" spans="1:39" x14ac:dyDescent="0.2">
      <c r="A156" s="403"/>
      <c r="B156" s="403"/>
      <c r="C156" s="403"/>
      <c r="D156" s="403"/>
      <c r="E156" s="403"/>
      <c r="F156" s="403"/>
      <c r="G156" s="403"/>
      <c r="H156" s="403"/>
      <c r="I156" s="403"/>
      <c r="J156" s="403"/>
      <c r="K156" s="403"/>
      <c r="L156" s="407"/>
      <c r="M156" s="407"/>
      <c r="N156" s="407"/>
      <c r="O156" s="403"/>
      <c r="P156" s="403"/>
      <c r="Q156" s="403"/>
      <c r="R156" s="403"/>
      <c r="S156" s="403"/>
      <c r="T156" s="407"/>
      <c r="U156" s="407"/>
      <c r="V156" s="407"/>
      <c r="W156" s="403"/>
      <c r="X156" s="403"/>
      <c r="Y156" s="403"/>
      <c r="Z156" s="403"/>
      <c r="AA156" s="403"/>
      <c r="AB156" s="403"/>
      <c r="AC156" s="403"/>
      <c r="AD156" s="403"/>
      <c r="AE156" s="403"/>
      <c r="AF156" s="403"/>
      <c r="AG156" s="403"/>
      <c r="AH156" s="403"/>
      <c r="AI156" s="403"/>
      <c r="AJ156" s="403"/>
      <c r="AK156" s="403"/>
      <c r="AL156" s="403"/>
      <c r="AM156" s="403"/>
    </row>
    <row r="157" spans="1:39" x14ac:dyDescent="0.2">
      <c r="A157" s="403"/>
      <c r="B157" s="403"/>
      <c r="C157" s="403"/>
      <c r="D157" s="403"/>
      <c r="E157" s="403"/>
      <c r="F157" s="403"/>
      <c r="G157" s="403"/>
      <c r="H157" s="403"/>
      <c r="I157" s="403"/>
      <c r="J157" s="403"/>
      <c r="K157" s="403"/>
      <c r="L157" s="407"/>
      <c r="M157" s="407"/>
      <c r="N157" s="407"/>
      <c r="O157" s="403"/>
      <c r="P157" s="403"/>
      <c r="Q157" s="403"/>
      <c r="R157" s="403"/>
      <c r="S157" s="403"/>
      <c r="T157" s="407"/>
      <c r="U157" s="407"/>
      <c r="V157" s="407"/>
      <c r="W157" s="403"/>
      <c r="X157" s="403"/>
      <c r="Y157" s="403"/>
      <c r="Z157" s="403"/>
      <c r="AA157" s="403"/>
      <c r="AB157" s="403"/>
      <c r="AC157" s="403"/>
      <c r="AD157" s="403"/>
      <c r="AE157" s="403"/>
      <c r="AF157" s="403"/>
      <c r="AG157" s="403"/>
      <c r="AH157" s="403"/>
      <c r="AI157" s="403"/>
      <c r="AJ157" s="403"/>
      <c r="AK157" s="403"/>
      <c r="AL157" s="403"/>
      <c r="AM157" s="403"/>
    </row>
    <row r="158" spans="1:39" x14ac:dyDescent="0.2">
      <c r="A158" s="403"/>
      <c r="B158" s="403"/>
      <c r="C158" s="403"/>
      <c r="D158" s="403"/>
      <c r="E158" s="403"/>
      <c r="F158" s="403"/>
      <c r="G158" s="403"/>
      <c r="H158" s="403"/>
      <c r="I158" s="403"/>
      <c r="J158" s="403"/>
      <c r="K158" s="403"/>
      <c r="L158" s="407"/>
      <c r="M158" s="407"/>
      <c r="N158" s="407"/>
      <c r="O158" s="403"/>
      <c r="P158" s="403"/>
      <c r="Q158" s="403"/>
      <c r="R158" s="403"/>
      <c r="S158" s="403"/>
      <c r="T158" s="407"/>
      <c r="U158" s="407"/>
      <c r="V158" s="407"/>
      <c r="W158" s="403"/>
      <c r="X158" s="403"/>
      <c r="Y158" s="403"/>
      <c r="Z158" s="403"/>
      <c r="AA158" s="403"/>
      <c r="AB158" s="403"/>
      <c r="AC158" s="403"/>
      <c r="AD158" s="403"/>
      <c r="AE158" s="403"/>
      <c r="AF158" s="403"/>
      <c r="AG158" s="403"/>
      <c r="AH158" s="403"/>
      <c r="AI158" s="403"/>
      <c r="AJ158" s="403"/>
      <c r="AK158" s="403"/>
      <c r="AL158" s="403"/>
      <c r="AM158" s="403"/>
    </row>
    <row r="159" spans="1:39" x14ac:dyDescent="0.2">
      <c r="A159" s="403"/>
      <c r="B159" s="403"/>
      <c r="C159" s="403"/>
      <c r="D159" s="403"/>
      <c r="E159" s="403"/>
      <c r="F159" s="403"/>
      <c r="G159" s="403"/>
      <c r="H159" s="403"/>
      <c r="I159" s="403"/>
      <c r="J159" s="403"/>
      <c r="K159" s="403"/>
      <c r="L159" s="407"/>
      <c r="M159" s="407"/>
      <c r="N159" s="407"/>
      <c r="O159" s="403"/>
      <c r="P159" s="403"/>
      <c r="Q159" s="403"/>
      <c r="R159" s="403"/>
      <c r="S159" s="403"/>
      <c r="T159" s="407"/>
      <c r="U159" s="407"/>
      <c r="V159" s="407"/>
      <c r="W159" s="403"/>
      <c r="X159" s="403"/>
      <c r="Y159" s="403"/>
      <c r="Z159" s="403"/>
      <c r="AA159" s="403"/>
      <c r="AB159" s="403"/>
      <c r="AC159" s="403"/>
      <c r="AD159" s="403"/>
      <c r="AE159" s="403"/>
      <c r="AF159" s="403"/>
      <c r="AG159" s="403"/>
      <c r="AH159" s="403"/>
      <c r="AI159" s="403"/>
      <c r="AJ159" s="403"/>
      <c r="AK159" s="403"/>
      <c r="AL159" s="403"/>
      <c r="AM159" s="403"/>
    </row>
    <row r="160" spans="1:39" x14ac:dyDescent="0.2">
      <c r="A160" s="403"/>
      <c r="B160" s="403"/>
      <c r="C160" s="403"/>
      <c r="D160" s="403"/>
      <c r="E160" s="403"/>
      <c r="F160" s="403"/>
      <c r="G160" s="403"/>
      <c r="H160" s="403"/>
      <c r="I160" s="403"/>
      <c r="J160" s="403"/>
      <c r="K160" s="403"/>
      <c r="L160" s="407"/>
      <c r="M160" s="407"/>
      <c r="N160" s="407"/>
      <c r="O160" s="403"/>
      <c r="P160" s="403"/>
      <c r="Q160" s="403"/>
      <c r="R160" s="403"/>
      <c r="S160" s="403"/>
      <c r="T160" s="407"/>
      <c r="U160" s="407"/>
      <c r="V160" s="407"/>
      <c r="W160" s="403"/>
      <c r="X160" s="403"/>
      <c r="Y160" s="403"/>
      <c r="Z160" s="403"/>
      <c r="AA160" s="403"/>
      <c r="AB160" s="403"/>
      <c r="AC160" s="403"/>
      <c r="AD160" s="403"/>
      <c r="AE160" s="403"/>
      <c r="AF160" s="403"/>
      <c r="AG160" s="403"/>
      <c r="AH160" s="403"/>
      <c r="AI160" s="403"/>
      <c r="AJ160" s="403"/>
      <c r="AK160" s="403"/>
      <c r="AL160" s="403"/>
      <c r="AM160" s="403"/>
    </row>
    <row r="161" spans="1:39" x14ac:dyDescent="0.2">
      <c r="A161" s="403"/>
      <c r="B161" s="403"/>
      <c r="C161" s="403"/>
      <c r="D161" s="403"/>
      <c r="E161" s="403"/>
      <c r="F161" s="403"/>
      <c r="G161" s="403"/>
      <c r="H161" s="403"/>
      <c r="I161" s="403"/>
      <c r="J161" s="403"/>
      <c r="K161" s="403"/>
      <c r="L161" s="407"/>
      <c r="M161" s="407"/>
      <c r="N161" s="407"/>
      <c r="O161" s="403"/>
      <c r="P161" s="403"/>
      <c r="Q161" s="403"/>
      <c r="R161" s="403"/>
      <c r="S161" s="403"/>
      <c r="T161" s="407"/>
      <c r="U161" s="407"/>
      <c r="V161" s="407"/>
      <c r="W161" s="403"/>
      <c r="X161" s="403"/>
      <c r="Y161" s="403"/>
      <c r="Z161" s="403"/>
      <c r="AA161" s="403"/>
      <c r="AB161" s="403"/>
      <c r="AC161" s="403"/>
      <c r="AD161" s="403"/>
      <c r="AE161" s="403"/>
      <c r="AF161" s="403"/>
      <c r="AG161" s="403"/>
      <c r="AH161" s="403"/>
      <c r="AI161" s="403"/>
      <c r="AJ161" s="403"/>
      <c r="AK161" s="403"/>
      <c r="AL161" s="403"/>
      <c r="AM161" s="403"/>
    </row>
    <row r="162" spans="1:39" x14ac:dyDescent="0.2">
      <c r="A162" s="403"/>
      <c r="B162" s="403"/>
      <c r="C162" s="403"/>
      <c r="D162" s="403"/>
      <c r="E162" s="403"/>
      <c r="F162" s="403"/>
      <c r="G162" s="403"/>
      <c r="H162" s="403"/>
      <c r="I162" s="403"/>
      <c r="J162" s="403"/>
      <c r="K162" s="403"/>
      <c r="L162" s="407"/>
      <c r="M162" s="407"/>
      <c r="N162" s="407"/>
      <c r="O162" s="403"/>
      <c r="P162" s="403"/>
      <c r="Q162" s="403"/>
      <c r="R162" s="403"/>
      <c r="S162" s="403"/>
      <c r="T162" s="407"/>
      <c r="U162" s="407"/>
      <c r="V162" s="407"/>
      <c r="W162" s="403"/>
      <c r="X162" s="403"/>
      <c r="Y162" s="403"/>
      <c r="Z162" s="403"/>
      <c r="AA162" s="403"/>
      <c r="AB162" s="403"/>
      <c r="AC162" s="403"/>
      <c r="AD162" s="403"/>
      <c r="AE162" s="403"/>
      <c r="AF162" s="403"/>
      <c r="AG162" s="403"/>
      <c r="AH162" s="403"/>
      <c r="AI162" s="403"/>
      <c r="AJ162" s="403"/>
      <c r="AK162" s="403"/>
      <c r="AL162" s="403"/>
      <c r="AM162" s="403"/>
    </row>
    <row r="163" spans="1:39"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row>
    <row r="164" spans="1:39"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row>
    <row r="165" spans="1:39"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03"/>
    </row>
    <row r="166" spans="1:39"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row>
    <row r="167" spans="1:39"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c r="AG167" s="403"/>
      <c r="AH167" s="403"/>
      <c r="AI167" s="403"/>
      <c r="AJ167" s="403"/>
      <c r="AK167" s="403"/>
      <c r="AL167" s="403"/>
      <c r="AM167" s="403"/>
    </row>
    <row r="168" spans="1:39"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c r="AG168" s="403"/>
      <c r="AH168" s="403"/>
      <c r="AI168" s="403"/>
      <c r="AJ168" s="403"/>
      <c r="AK168" s="403"/>
      <c r="AL168" s="403"/>
      <c r="AM168" s="403"/>
    </row>
    <row r="169" spans="1:39"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row>
    <row r="170" spans="1:39" x14ac:dyDescent="0.2">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row>
    <row r="171" spans="1:39" x14ac:dyDescent="0.2">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c r="AA171" s="403"/>
      <c r="AB171" s="403"/>
      <c r="AC171" s="403"/>
      <c r="AD171" s="403"/>
      <c r="AE171" s="403"/>
      <c r="AF171" s="403"/>
      <c r="AG171" s="403"/>
      <c r="AH171" s="403"/>
      <c r="AI171" s="403"/>
      <c r="AJ171" s="403"/>
      <c r="AK171" s="403"/>
      <c r="AL171" s="403"/>
      <c r="AM171" s="403"/>
    </row>
    <row r="172" spans="1:39" x14ac:dyDescent="0.2">
      <c r="A172" s="403"/>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3"/>
      <c r="AL172" s="403"/>
      <c r="AM172" s="403"/>
    </row>
    <row r="173" spans="1:39" x14ac:dyDescent="0.2">
      <c r="A173" s="403"/>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c r="AA173" s="403"/>
      <c r="AB173" s="403"/>
      <c r="AC173" s="403"/>
      <c r="AD173" s="403"/>
      <c r="AE173" s="403"/>
      <c r="AF173" s="403"/>
      <c r="AG173" s="403"/>
      <c r="AH173" s="403"/>
      <c r="AI173" s="403"/>
      <c r="AJ173" s="403"/>
      <c r="AK173" s="403"/>
      <c r="AL173" s="403"/>
      <c r="AM173" s="403"/>
    </row>
    <row r="174" spans="1:39" x14ac:dyDescent="0.2">
      <c r="A174" s="403"/>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c r="AA174" s="403"/>
      <c r="AB174" s="403"/>
      <c r="AC174" s="403"/>
      <c r="AD174" s="403"/>
      <c r="AE174" s="403"/>
      <c r="AF174" s="403"/>
      <c r="AG174" s="403"/>
      <c r="AH174" s="403"/>
      <c r="AI174" s="403"/>
      <c r="AJ174" s="403"/>
      <c r="AK174" s="403"/>
      <c r="AL174" s="403"/>
      <c r="AM174" s="403"/>
    </row>
    <row r="175" spans="1:39" x14ac:dyDescent="0.2">
      <c r="A175" s="403"/>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row>
    <row r="176" spans="1:39"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x14ac:dyDescent="0.2">
      <c r="A286" s="403"/>
      <c r="B286" s="403"/>
      <c r="C286" s="403"/>
      <c r="D286" s="403"/>
      <c r="E286" s="403"/>
      <c r="F286" s="403"/>
      <c r="G286" s="403"/>
      <c r="H286" s="403"/>
      <c r="I286" s="403"/>
      <c r="J286" s="403"/>
      <c r="K286" s="403"/>
      <c r="L286" s="407"/>
      <c r="M286" s="407"/>
      <c r="N286" s="407"/>
      <c r="O286" s="403"/>
      <c r="P286" s="403"/>
      <c r="Q286" s="403"/>
      <c r="R286" s="403"/>
      <c r="S286" s="403"/>
      <c r="T286" s="407"/>
      <c r="U286" s="407"/>
      <c r="V286" s="407"/>
      <c r="W286" s="403"/>
      <c r="X286" s="403"/>
      <c r="Y286" s="403"/>
      <c r="Z286" s="403"/>
      <c r="AA286" s="403"/>
      <c r="AB286" s="403"/>
      <c r="AC286" s="403"/>
      <c r="AD286" s="403"/>
      <c r="AE286" s="403"/>
      <c r="AF286" s="403"/>
      <c r="AG286" s="403"/>
      <c r="AH286" s="403"/>
      <c r="AI286" s="403"/>
      <c r="AJ286" s="403"/>
      <c r="AK286" s="403"/>
      <c r="AL286" s="403"/>
      <c r="AM286" s="403"/>
    </row>
    <row r="287" spans="1:39" x14ac:dyDescent="0.2">
      <c r="A287" s="403"/>
      <c r="B287" s="403"/>
      <c r="C287" s="403"/>
      <c r="D287" s="403"/>
      <c r="E287" s="403"/>
      <c r="F287" s="403"/>
      <c r="G287" s="403"/>
      <c r="H287" s="403"/>
      <c r="I287" s="403"/>
      <c r="J287" s="403"/>
      <c r="K287" s="403"/>
      <c r="L287" s="407"/>
      <c r="M287" s="407"/>
      <c r="N287" s="407"/>
      <c r="O287" s="403"/>
      <c r="P287" s="403"/>
      <c r="Q287" s="403"/>
      <c r="R287" s="403"/>
      <c r="S287" s="403"/>
      <c r="T287" s="407"/>
      <c r="U287" s="407"/>
      <c r="V287" s="407"/>
      <c r="W287" s="403"/>
      <c r="X287" s="403"/>
      <c r="Y287" s="403"/>
      <c r="Z287" s="403"/>
      <c r="AA287" s="403"/>
      <c r="AB287" s="403"/>
      <c r="AC287" s="403"/>
      <c r="AD287" s="403"/>
      <c r="AE287" s="403"/>
      <c r="AF287" s="403"/>
      <c r="AG287" s="403"/>
      <c r="AH287" s="403"/>
      <c r="AI287" s="403"/>
      <c r="AJ287" s="403"/>
      <c r="AK287" s="403"/>
      <c r="AL287" s="403"/>
      <c r="AM287" s="403"/>
    </row>
    <row r="288" spans="1:39" x14ac:dyDescent="0.2">
      <c r="A288" s="403"/>
      <c r="B288" s="403"/>
      <c r="C288" s="403"/>
      <c r="D288" s="403"/>
      <c r="E288" s="403"/>
      <c r="F288" s="403"/>
      <c r="G288" s="403"/>
      <c r="H288" s="403"/>
      <c r="I288" s="403"/>
      <c r="J288" s="403"/>
      <c r="K288" s="403"/>
      <c r="L288" s="407"/>
      <c r="M288" s="407"/>
      <c r="N288" s="407"/>
      <c r="O288" s="403"/>
      <c r="P288" s="403"/>
      <c r="Q288" s="403"/>
      <c r="R288" s="403"/>
      <c r="S288" s="403"/>
      <c r="T288" s="407"/>
      <c r="U288" s="407"/>
      <c r="V288" s="407"/>
      <c r="W288" s="403"/>
      <c r="X288" s="403"/>
      <c r="Y288" s="403"/>
      <c r="Z288" s="403"/>
      <c r="AA288" s="403"/>
      <c r="AB288" s="403"/>
      <c r="AC288" s="403"/>
      <c r="AD288" s="403"/>
      <c r="AE288" s="403"/>
      <c r="AF288" s="403"/>
      <c r="AG288" s="403"/>
      <c r="AH288" s="403"/>
      <c r="AI288" s="403"/>
      <c r="AJ288" s="403"/>
      <c r="AK288" s="403"/>
      <c r="AL288" s="403"/>
      <c r="AM288" s="403"/>
    </row>
    <row r="289" spans="1:39" x14ac:dyDescent="0.2">
      <c r="A289" s="403"/>
      <c r="B289" s="403"/>
      <c r="C289" s="403"/>
      <c r="D289" s="403"/>
      <c r="E289" s="403"/>
      <c r="F289" s="403"/>
      <c r="G289" s="403"/>
      <c r="H289" s="403"/>
      <c r="I289" s="403"/>
      <c r="J289" s="403"/>
      <c r="K289" s="403"/>
      <c r="L289" s="407"/>
      <c r="M289" s="407"/>
      <c r="N289" s="407"/>
      <c r="O289" s="403"/>
      <c r="P289" s="403"/>
      <c r="Q289" s="403"/>
      <c r="R289" s="403"/>
      <c r="S289" s="403"/>
      <c r="T289" s="407"/>
      <c r="U289" s="407"/>
      <c r="V289" s="407"/>
      <c r="W289" s="403"/>
      <c r="X289" s="403"/>
      <c r="Y289" s="403"/>
      <c r="Z289" s="403"/>
      <c r="AA289" s="403"/>
      <c r="AB289" s="403"/>
      <c r="AC289" s="403"/>
      <c r="AD289" s="403"/>
      <c r="AE289" s="403"/>
      <c r="AF289" s="403"/>
      <c r="AG289" s="403"/>
      <c r="AH289" s="403"/>
      <c r="AI289" s="403"/>
      <c r="AJ289" s="403"/>
      <c r="AK289" s="403"/>
      <c r="AL289" s="403"/>
      <c r="AM289" s="403"/>
    </row>
    <row r="290" spans="1:39" x14ac:dyDescent="0.2">
      <c r="A290" s="403"/>
      <c r="B290" s="403"/>
      <c r="C290" s="403"/>
      <c r="D290" s="403"/>
      <c r="E290" s="403"/>
      <c r="F290" s="403"/>
      <c r="G290" s="403"/>
      <c r="H290" s="403"/>
      <c r="I290" s="403"/>
      <c r="J290" s="403"/>
      <c r="K290" s="403"/>
      <c r="L290" s="407"/>
      <c r="M290" s="407"/>
      <c r="N290" s="407"/>
      <c r="O290" s="403"/>
      <c r="P290" s="403"/>
      <c r="Q290" s="403"/>
      <c r="R290" s="403"/>
      <c r="S290" s="403"/>
      <c r="T290" s="407"/>
      <c r="U290" s="407"/>
      <c r="V290" s="407"/>
      <c r="W290" s="403"/>
      <c r="X290" s="403"/>
      <c r="Y290" s="403"/>
      <c r="Z290" s="403"/>
      <c r="AA290" s="403"/>
      <c r="AB290" s="403"/>
      <c r="AC290" s="403"/>
      <c r="AD290" s="403"/>
      <c r="AE290" s="403"/>
      <c r="AF290" s="403"/>
      <c r="AG290" s="403"/>
      <c r="AH290" s="403"/>
      <c r="AI290" s="403"/>
      <c r="AJ290" s="403"/>
      <c r="AK290" s="403"/>
      <c r="AL290" s="403"/>
      <c r="AM290" s="403"/>
    </row>
    <row r="291" spans="1:39" x14ac:dyDescent="0.2">
      <c r="A291" s="403"/>
      <c r="B291" s="403"/>
      <c r="C291" s="403"/>
      <c r="D291" s="403"/>
      <c r="E291" s="403"/>
      <c r="F291" s="403"/>
      <c r="G291" s="403"/>
      <c r="H291" s="403"/>
      <c r="I291" s="403"/>
      <c r="J291" s="403"/>
      <c r="K291" s="403"/>
      <c r="L291" s="407"/>
      <c r="M291" s="407"/>
      <c r="N291" s="407"/>
      <c r="O291" s="403"/>
      <c r="P291" s="403"/>
      <c r="Q291" s="403"/>
      <c r="R291" s="403"/>
      <c r="S291" s="403"/>
      <c r="T291" s="407"/>
      <c r="U291" s="407"/>
      <c r="V291" s="407"/>
      <c r="W291" s="403"/>
      <c r="X291" s="403"/>
      <c r="Y291" s="403"/>
      <c r="Z291" s="403"/>
      <c r="AA291" s="403"/>
      <c r="AB291" s="403"/>
      <c r="AC291" s="403"/>
      <c r="AD291" s="403"/>
      <c r="AE291" s="403"/>
      <c r="AF291" s="403"/>
      <c r="AG291" s="403"/>
      <c r="AH291" s="403"/>
      <c r="AI291" s="403"/>
      <c r="AJ291" s="403"/>
      <c r="AK291" s="403"/>
      <c r="AL291" s="403"/>
      <c r="AM291" s="403"/>
    </row>
    <row r="292" spans="1:39" x14ac:dyDescent="0.2">
      <c r="A292" s="403"/>
      <c r="B292" s="403"/>
      <c r="C292" s="403"/>
      <c r="D292" s="403"/>
      <c r="E292" s="403"/>
      <c r="F292" s="403"/>
      <c r="G292" s="403"/>
      <c r="H292" s="403"/>
      <c r="I292" s="403"/>
      <c r="J292" s="403"/>
      <c r="K292" s="403"/>
      <c r="L292" s="407"/>
      <c r="M292" s="407"/>
      <c r="N292" s="407"/>
      <c r="O292" s="403"/>
      <c r="P292" s="403"/>
      <c r="Q292" s="403"/>
      <c r="R292" s="403"/>
      <c r="S292" s="403"/>
      <c r="T292" s="407"/>
      <c r="U292" s="407"/>
      <c r="V292" s="407"/>
      <c r="W292" s="403"/>
      <c r="X292" s="403"/>
      <c r="Y292" s="403"/>
      <c r="Z292" s="403"/>
      <c r="AA292" s="403"/>
      <c r="AB292" s="403"/>
      <c r="AC292" s="403"/>
      <c r="AD292" s="403"/>
      <c r="AE292" s="403"/>
      <c r="AF292" s="403"/>
      <c r="AG292" s="403"/>
      <c r="AH292" s="403"/>
      <c r="AI292" s="403"/>
      <c r="AJ292" s="403"/>
      <c r="AK292" s="403"/>
      <c r="AL292" s="403"/>
      <c r="AM292" s="403"/>
    </row>
    <row r="293" spans="1:39" x14ac:dyDescent="0.2">
      <c r="A293" s="403"/>
      <c r="B293" s="403"/>
      <c r="C293" s="403"/>
      <c r="D293" s="403"/>
      <c r="E293" s="403"/>
      <c r="F293" s="403"/>
      <c r="G293" s="403"/>
      <c r="H293" s="403"/>
      <c r="I293" s="403"/>
      <c r="J293" s="403"/>
      <c r="K293" s="403"/>
      <c r="L293" s="407"/>
      <c r="M293" s="407"/>
      <c r="N293" s="407"/>
      <c r="O293" s="403"/>
      <c r="P293" s="403"/>
      <c r="Q293" s="403"/>
      <c r="R293" s="403"/>
      <c r="S293" s="403"/>
      <c r="T293" s="407"/>
      <c r="U293" s="407"/>
      <c r="V293" s="407"/>
      <c r="W293" s="403"/>
      <c r="X293" s="403"/>
      <c r="Y293" s="403"/>
      <c r="Z293" s="403"/>
      <c r="AA293" s="403"/>
      <c r="AB293" s="403"/>
      <c r="AC293" s="403"/>
      <c r="AD293" s="403"/>
      <c r="AE293" s="403"/>
      <c r="AF293" s="403"/>
      <c r="AG293" s="403"/>
      <c r="AH293" s="403"/>
      <c r="AI293" s="403"/>
      <c r="AJ293" s="403"/>
      <c r="AK293" s="403"/>
      <c r="AL293" s="403"/>
      <c r="AM293" s="403"/>
    </row>
    <row r="294" spans="1:39" x14ac:dyDescent="0.2">
      <c r="A294" s="403"/>
      <c r="B294" s="403"/>
      <c r="C294" s="403"/>
      <c r="D294" s="403"/>
      <c r="E294" s="403"/>
      <c r="F294" s="403"/>
      <c r="G294" s="403"/>
      <c r="H294" s="403"/>
      <c r="I294" s="403"/>
      <c r="J294" s="403"/>
      <c r="K294" s="403"/>
      <c r="L294" s="407"/>
      <c r="M294" s="407"/>
      <c r="N294" s="407"/>
      <c r="O294" s="403"/>
      <c r="P294" s="403"/>
      <c r="Q294" s="403"/>
      <c r="R294" s="403"/>
      <c r="S294" s="403"/>
      <c r="T294" s="407"/>
      <c r="U294" s="407"/>
      <c r="V294" s="407"/>
      <c r="W294" s="403"/>
      <c r="X294" s="403"/>
      <c r="Y294" s="403"/>
      <c r="Z294" s="403"/>
      <c r="AA294" s="403"/>
      <c r="AB294" s="403"/>
      <c r="AC294" s="403"/>
      <c r="AD294" s="403"/>
      <c r="AE294" s="403"/>
      <c r="AF294" s="403"/>
      <c r="AG294" s="403"/>
      <c r="AH294" s="403"/>
      <c r="AI294" s="403"/>
      <c r="AJ294" s="403"/>
      <c r="AK294" s="403"/>
      <c r="AL294" s="403"/>
      <c r="AM294" s="403"/>
    </row>
    <row r="295" spans="1:39" x14ac:dyDescent="0.2">
      <c r="A295" s="403"/>
      <c r="B295" s="403"/>
      <c r="C295" s="403"/>
      <c r="D295" s="403"/>
      <c r="E295" s="403"/>
      <c r="F295" s="403"/>
      <c r="G295" s="403"/>
      <c r="H295" s="403"/>
      <c r="I295" s="403"/>
      <c r="J295" s="403"/>
      <c r="K295" s="403"/>
      <c r="L295" s="407"/>
      <c r="M295" s="407"/>
      <c r="N295" s="407"/>
      <c r="O295" s="403"/>
      <c r="P295" s="403"/>
      <c r="Q295" s="403"/>
      <c r="R295" s="403"/>
      <c r="S295" s="403"/>
      <c r="T295" s="407"/>
      <c r="U295" s="407"/>
      <c r="V295" s="407"/>
      <c r="W295" s="403"/>
      <c r="X295" s="403"/>
      <c r="Y295" s="403"/>
      <c r="Z295" s="403"/>
      <c r="AA295" s="403"/>
      <c r="AB295" s="403"/>
      <c r="AC295" s="403"/>
      <c r="AD295" s="403"/>
      <c r="AE295" s="403"/>
      <c r="AF295" s="403"/>
      <c r="AG295" s="403"/>
      <c r="AH295" s="403"/>
      <c r="AI295" s="403"/>
      <c r="AJ295" s="403"/>
      <c r="AK295" s="403"/>
      <c r="AL295" s="403"/>
      <c r="AM295" s="403"/>
    </row>
    <row r="296" spans="1:39" x14ac:dyDescent="0.2">
      <c r="A296" s="403"/>
      <c r="B296" s="403"/>
      <c r="C296" s="403"/>
      <c r="D296" s="403"/>
      <c r="E296" s="403"/>
      <c r="F296" s="403"/>
      <c r="G296" s="403"/>
      <c r="H296" s="403"/>
      <c r="I296" s="403"/>
      <c r="J296" s="403"/>
      <c r="K296" s="403"/>
      <c r="L296" s="407"/>
      <c r="M296" s="407"/>
      <c r="N296" s="407"/>
      <c r="O296" s="403"/>
      <c r="P296" s="403"/>
      <c r="Q296" s="403"/>
      <c r="R296" s="403"/>
      <c r="S296" s="403"/>
      <c r="T296" s="407"/>
      <c r="U296" s="407"/>
      <c r="V296" s="407"/>
      <c r="W296" s="403"/>
      <c r="X296" s="403"/>
      <c r="Y296" s="403"/>
      <c r="Z296" s="403"/>
      <c r="AA296" s="403"/>
      <c r="AB296" s="403"/>
      <c r="AC296" s="403"/>
      <c r="AD296" s="403"/>
      <c r="AE296" s="403"/>
      <c r="AF296" s="403"/>
      <c r="AG296" s="403"/>
      <c r="AH296" s="403"/>
      <c r="AI296" s="403"/>
      <c r="AJ296" s="403"/>
      <c r="AK296" s="403"/>
      <c r="AL296" s="403"/>
      <c r="AM296" s="403"/>
    </row>
    <row r="297" spans="1:39" x14ac:dyDescent="0.2">
      <c r="A297" s="403"/>
      <c r="B297" s="403"/>
      <c r="C297" s="403"/>
      <c r="D297" s="403"/>
      <c r="E297" s="403"/>
      <c r="F297" s="403"/>
      <c r="G297" s="403"/>
      <c r="H297" s="403"/>
      <c r="I297" s="403"/>
      <c r="J297" s="403"/>
      <c r="K297" s="403"/>
      <c r="L297" s="407"/>
      <c r="M297" s="407"/>
      <c r="N297" s="407"/>
      <c r="O297" s="403"/>
      <c r="P297" s="403"/>
      <c r="Q297" s="403"/>
      <c r="R297" s="403"/>
      <c r="S297" s="403"/>
      <c r="T297" s="407"/>
      <c r="U297" s="407"/>
      <c r="V297" s="407"/>
      <c r="W297" s="403"/>
      <c r="X297" s="403"/>
      <c r="Y297" s="403"/>
      <c r="Z297" s="403"/>
      <c r="AA297" s="403"/>
      <c r="AB297" s="403"/>
      <c r="AC297" s="403"/>
      <c r="AD297" s="403"/>
      <c r="AE297" s="403"/>
      <c r="AF297" s="403"/>
      <c r="AG297" s="403"/>
      <c r="AH297" s="403"/>
      <c r="AI297" s="403"/>
      <c r="AJ297" s="403"/>
      <c r="AK297" s="403"/>
      <c r="AL297" s="403"/>
      <c r="AM297" s="403"/>
    </row>
    <row r="298" spans="1:39" x14ac:dyDescent="0.2">
      <c r="A298" s="403"/>
      <c r="B298" s="403"/>
      <c r="C298" s="403"/>
      <c r="D298" s="403"/>
      <c r="E298" s="403"/>
      <c r="F298" s="403"/>
      <c r="G298" s="403"/>
      <c r="H298" s="403"/>
      <c r="I298" s="403"/>
      <c r="J298" s="403"/>
      <c r="K298" s="403"/>
      <c r="L298" s="407"/>
      <c r="M298" s="407"/>
      <c r="N298" s="407"/>
      <c r="O298" s="403"/>
      <c r="P298" s="403"/>
      <c r="Q298" s="403"/>
      <c r="R298" s="403"/>
      <c r="S298" s="403"/>
      <c r="T298" s="407"/>
      <c r="U298" s="407"/>
      <c r="V298" s="407"/>
      <c r="W298" s="403"/>
      <c r="X298" s="403"/>
      <c r="Y298" s="403"/>
      <c r="Z298" s="403"/>
      <c r="AA298" s="403"/>
      <c r="AB298" s="403"/>
      <c r="AC298" s="403"/>
      <c r="AD298" s="403"/>
      <c r="AE298" s="403"/>
      <c r="AF298" s="403"/>
      <c r="AG298" s="403"/>
      <c r="AH298" s="403"/>
      <c r="AI298" s="403"/>
      <c r="AJ298" s="403"/>
      <c r="AK298" s="403"/>
      <c r="AL298" s="403"/>
      <c r="AM298" s="403"/>
    </row>
    <row r="299" spans="1:39" x14ac:dyDescent="0.2">
      <c r="A299" s="403"/>
      <c r="B299" s="403"/>
      <c r="C299" s="447" t="s">
        <v>69</v>
      </c>
      <c r="D299" s="448"/>
      <c r="E299" s="448"/>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row>
    <row r="300" spans="1:39" x14ac:dyDescent="0.2">
      <c r="A300" s="449">
        <v>1</v>
      </c>
      <c r="B300" s="450">
        <f>IFERROR(INDEX(B$1:B$100,MATCH(A300,A$1:A$100,0)),"")</f>
        <v>0</v>
      </c>
      <c r="C300">
        <v>40</v>
      </c>
      <c r="D300" s="452"/>
      <c r="E300" s="452"/>
      <c r="F300" s="403"/>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row>
    <row r="301" spans="1:39" x14ac:dyDescent="0.2">
      <c r="A301" s="449">
        <v>2</v>
      </c>
      <c r="B301" s="450">
        <f t="shared" ref="B301:B323" si="9">IFERROR(INDEX(B$1:B$100,MATCH(A301,A$1:A$100,0)),"")</f>
        <v>0</v>
      </c>
      <c r="C301">
        <v>34</v>
      </c>
      <c r="D301" s="404"/>
      <c r="E301" s="404"/>
      <c r="F301" s="403"/>
      <c r="G301" s="403"/>
      <c r="H301" s="403"/>
      <c r="I301" s="403"/>
      <c r="J301" s="403"/>
      <c r="K301" s="403"/>
      <c r="L301" s="403"/>
      <c r="M301" s="403"/>
      <c r="N301" s="403"/>
      <c r="O301" s="403"/>
      <c r="P301" s="403"/>
      <c r="Q301" s="403"/>
      <c r="R301" s="403"/>
      <c r="S301" s="403"/>
      <c r="T301" s="403"/>
      <c r="U301" s="403"/>
      <c r="V301" s="403"/>
      <c r="W301" s="453"/>
      <c r="X301" s="403"/>
      <c r="Y301" s="403"/>
      <c r="Z301" s="403"/>
      <c r="AA301" s="403"/>
      <c r="AB301" s="403"/>
      <c r="AC301" s="403"/>
      <c r="AD301" s="403"/>
      <c r="AE301" s="403"/>
      <c r="AF301" s="403"/>
      <c r="AG301" s="403"/>
      <c r="AH301" s="403"/>
      <c r="AI301" s="403"/>
      <c r="AJ301" s="403"/>
      <c r="AK301" s="403"/>
      <c r="AL301" s="403"/>
      <c r="AM301" s="403"/>
    </row>
    <row r="302" spans="1:39" x14ac:dyDescent="0.2">
      <c r="A302" s="449">
        <v>3</v>
      </c>
      <c r="B302" s="450">
        <f t="shared" si="9"/>
        <v>0</v>
      </c>
      <c r="C302">
        <v>30</v>
      </c>
      <c r="D302" s="404"/>
      <c r="E302" s="404"/>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row>
    <row r="303" spans="1:39" x14ac:dyDescent="0.2">
      <c r="A303" s="449">
        <v>4</v>
      </c>
      <c r="B303" s="450">
        <f t="shared" si="9"/>
        <v>0</v>
      </c>
      <c r="C303">
        <v>26</v>
      </c>
      <c r="D303" s="404"/>
      <c r="E303" s="404"/>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row>
    <row r="304" spans="1:39" x14ac:dyDescent="0.2">
      <c r="A304" s="449">
        <v>5</v>
      </c>
      <c r="B304" s="450">
        <f t="shared" si="9"/>
        <v>0</v>
      </c>
      <c r="C304">
        <v>24</v>
      </c>
      <c r="D304" s="404"/>
      <c r="E304" s="404"/>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c r="AG304" s="403"/>
      <c r="AH304" s="403"/>
      <c r="AI304" s="403"/>
      <c r="AJ304" s="403"/>
      <c r="AK304" s="403"/>
      <c r="AL304" s="403"/>
      <c r="AM304" s="403"/>
    </row>
    <row r="305" spans="1:39" x14ac:dyDescent="0.2">
      <c r="A305" s="449">
        <v>6</v>
      </c>
      <c r="B305" s="450">
        <f t="shared" si="9"/>
        <v>0</v>
      </c>
      <c r="C305">
        <v>22</v>
      </c>
      <c r="D305" s="404"/>
      <c r="E305" s="404"/>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403"/>
      <c r="AK305" s="403"/>
      <c r="AL305" s="403"/>
      <c r="AM305" s="403"/>
    </row>
    <row r="306" spans="1:39" x14ac:dyDescent="0.2">
      <c r="A306" s="449">
        <v>7</v>
      </c>
      <c r="B306" s="450">
        <f t="shared" si="9"/>
        <v>0</v>
      </c>
      <c r="C306" s="461">
        <v>20</v>
      </c>
      <c r="D306" s="404"/>
      <c r="E306" s="404"/>
      <c r="F306" s="403"/>
      <c r="G306" s="403"/>
      <c r="H306" s="403"/>
      <c r="I306" s="403"/>
      <c r="J306" s="403"/>
      <c r="K306" s="403"/>
      <c r="L306" s="403"/>
      <c r="M306" s="403"/>
      <c r="N306" s="403"/>
      <c r="O306" s="403"/>
      <c r="P306" s="403"/>
      <c r="Q306" s="403"/>
      <c r="R306" s="403"/>
      <c r="S306" s="403"/>
      <c r="T306" s="403"/>
      <c r="U306" s="403"/>
      <c r="V306" s="403"/>
      <c r="W306" s="453"/>
      <c r="X306" s="403"/>
      <c r="Y306" s="403"/>
      <c r="Z306" s="403"/>
      <c r="AA306" s="403"/>
      <c r="AB306" s="403"/>
      <c r="AC306" s="403"/>
      <c r="AD306" s="403"/>
      <c r="AE306" s="403"/>
      <c r="AF306" s="403"/>
      <c r="AG306" s="403"/>
      <c r="AH306" s="403"/>
      <c r="AI306" s="403"/>
      <c r="AJ306" s="403"/>
      <c r="AK306" s="403"/>
      <c r="AL306" s="403"/>
      <c r="AM306" s="403"/>
    </row>
    <row r="307" spans="1:39" x14ac:dyDescent="0.2">
      <c r="A307" s="449">
        <v>8</v>
      </c>
      <c r="B307" s="450">
        <f t="shared" si="9"/>
        <v>0</v>
      </c>
      <c r="C307" s="461">
        <v>18</v>
      </c>
      <c r="D307" s="404"/>
      <c r="E307" s="404"/>
      <c r="F307" s="403"/>
      <c r="G307" s="403"/>
      <c r="H307" s="403"/>
      <c r="I307" s="403"/>
      <c r="J307" s="403"/>
      <c r="K307" s="403"/>
      <c r="L307" s="403"/>
      <c r="M307" s="403"/>
      <c r="N307" s="403"/>
      <c r="O307" s="403"/>
      <c r="P307" s="403"/>
      <c r="Q307" s="403"/>
      <c r="R307" s="403"/>
      <c r="S307" s="403"/>
      <c r="T307" s="403"/>
      <c r="U307" s="403"/>
      <c r="V307" s="403"/>
      <c r="W307" s="403"/>
      <c r="X307" s="403"/>
      <c r="Y307" s="403"/>
      <c r="Z307" s="403"/>
      <c r="AA307" s="403"/>
      <c r="AB307" s="403"/>
      <c r="AC307" s="403"/>
      <c r="AD307" s="403"/>
      <c r="AE307" s="403"/>
      <c r="AF307" s="403"/>
      <c r="AG307" s="403"/>
      <c r="AH307" s="403"/>
      <c r="AI307" s="403"/>
      <c r="AJ307" s="403"/>
      <c r="AK307" s="403"/>
      <c r="AL307" s="403"/>
      <c r="AM307" s="403"/>
    </row>
    <row r="308" spans="1:39" x14ac:dyDescent="0.2">
      <c r="A308" s="449">
        <v>9</v>
      </c>
      <c r="B308" s="450">
        <f t="shared" si="9"/>
        <v>0</v>
      </c>
      <c r="C308" s="461">
        <v>16</v>
      </c>
      <c r="D308" s="404"/>
      <c r="E308" s="404"/>
      <c r="F308" s="403"/>
      <c r="G308" s="403"/>
      <c r="H308" s="403"/>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403"/>
      <c r="AG308" s="403"/>
      <c r="AH308" s="403"/>
      <c r="AI308" s="403"/>
      <c r="AJ308" s="403"/>
      <c r="AK308" s="403"/>
      <c r="AL308" s="403"/>
      <c r="AM308" s="403"/>
    </row>
    <row r="309" spans="1:39" x14ac:dyDescent="0.2">
      <c r="A309" s="449">
        <v>10</v>
      </c>
      <c r="B309" s="450">
        <f t="shared" si="9"/>
        <v>0</v>
      </c>
      <c r="C309" s="403">
        <v>14</v>
      </c>
      <c r="D309" s="404"/>
      <c r="E309" s="404"/>
      <c r="F309" s="403"/>
      <c r="G309" s="403"/>
      <c r="H309" s="403"/>
      <c r="I309" s="403"/>
      <c r="J309" s="403"/>
      <c r="K309" s="403"/>
      <c r="L309" s="403"/>
      <c r="M309" s="403"/>
      <c r="N309" s="403"/>
      <c r="O309" s="403"/>
      <c r="P309" s="403"/>
      <c r="Q309" s="403"/>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row>
    <row r="310" spans="1:39" x14ac:dyDescent="0.2">
      <c r="A310" s="449">
        <v>11</v>
      </c>
      <c r="B310" s="450">
        <f t="shared" si="9"/>
        <v>0</v>
      </c>
      <c r="C310" s="403">
        <v>12</v>
      </c>
      <c r="D310" s="403"/>
      <c r="E310" s="403"/>
      <c r="F310" s="403"/>
      <c r="G310" s="403"/>
      <c r="H310" s="403"/>
      <c r="I310" s="403"/>
      <c r="J310" s="403"/>
      <c r="K310" s="403"/>
      <c r="L310" s="403"/>
      <c r="M310" s="403"/>
      <c r="N310" s="403"/>
      <c r="O310" s="403"/>
      <c r="P310" s="403"/>
      <c r="Q310" s="403"/>
      <c r="R310" s="403"/>
      <c r="S310" s="403"/>
      <c r="T310" s="403"/>
      <c r="U310" s="403"/>
      <c r="V310" s="403"/>
      <c r="W310" s="403"/>
      <c r="X310" s="403"/>
      <c r="Y310" s="403"/>
      <c r="Z310" s="403"/>
      <c r="AA310" s="403"/>
      <c r="AB310" s="403"/>
      <c r="AC310" s="403"/>
      <c r="AD310" s="403"/>
      <c r="AE310" s="403"/>
      <c r="AF310" s="403"/>
      <c r="AG310" s="403"/>
      <c r="AH310" s="403"/>
      <c r="AI310" s="403"/>
      <c r="AJ310" s="403"/>
      <c r="AK310" s="403"/>
      <c r="AL310" s="403"/>
      <c r="AM310" s="403"/>
    </row>
    <row r="311" spans="1:39" x14ac:dyDescent="0.2">
      <c r="A311" s="449">
        <v>12</v>
      </c>
      <c r="B311" s="450">
        <f t="shared" si="9"/>
        <v>0</v>
      </c>
      <c r="C311" s="403">
        <v>10</v>
      </c>
      <c r="D311" s="403"/>
      <c r="E311" s="403"/>
      <c r="F311" s="403"/>
      <c r="G311" s="403"/>
      <c r="H311" s="403"/>
      <c r="I311" s="403"/>
      <c r="J311" s="403"/>
      <c r="K311" s="403"/>
      <c r="L311" s="403"/>
      <c r="M311" s="403"/>
      <c r="N311" s="403"/>
      <c r="O311" s="403"/>
      <c r="P311" s="403"/>
      <c r="Q311" s="403"/>
      <c r="R311" s="403"/>
      <c r="S311" s="403"/>
      <c r="T311" s="403"/>
      <c r="U311" s="403"/>
      <c r="V311" s="403"/>
      <c r="W311" s="403"/>
      <c r="X311" s="403"/>
      <c r="Y311" s="403"/>
      <c r="Z311" s="403"/>
      <c r="AA311" s="403"/>
      <c r="AB311" s="403"/>
      <c r="AC311" s="403"/>
      <c r="AD311" s="403"/>
      <c r="AE311" s="403"/>
      <c r="AF311" s="403"/>
      <c r="AG311" s="403"/>
      <c r="AH311" s="403"/>
      <c r="AI311" s="403"/>
      <c r="AJ311" s="403"/>
      <c r="AK311" s="403"/>
      <c r="AL311" s="403"/>
      <c r="AM311" s="403"/>
    </row>
    <row r="312" spans="1:39" x14ac:dyDescent="0.2">
      <c r="A312" s="449">
        <v>13</v>
      </c>
      <c r="B312" s="450">
        <f t="shared" si="9"/>
        <v>0</v>
      </c>
      <c r="C312" s="403">
        <v>8</v>
      </c>
      <c r="D312" s="403"/>
      <c r="E312" s="403"/>
      <c r="F312" s="403"/>
      <c r="G312" s="403"/>
      <c r="H312" s="403"/>
      <c r="I312" s="403"/>
      <c r="J312" s="403"/>
      <c r="K312" s="403"/>
      <c r="L312" s="403"/>
      <c r="M312" s="403"/>
      <c r="N312" s="403"/>
      <c r="O312" s="403"/>
      <c r="P312" s="403"/>
      <c r="Q312" s="403"/>
      <c r="R312" s="403"/>
      <c r="S312" s="403"/>
      <c r="T312" s="403"/>
      <c r="U312" s="403"/>
      <c r="V312" s="403"/>
      <c r="W312" s="403"/>
      <c r="X312" s="403"/>
      <c r="Y312" s="403"/>
      <c r="Z312" s="403"/>
      <c r="AA312" s="403"/>
      <c r="AB312" s="403"/>
      <c r="AC312" s="403"/>
      <c r="AD312" s="403"/>
      <c r="AE312" s="403"/>
      <c r="AF312" s="403"/>
      <c r="AG312" s="403"/>
      <c r="AH312" s="403"/>
      <c r="AI312" s="403"/>
      <c r="AJ312" s="403"/>
      <c r="AK312" s="403"/>
      <c r="AL312" s="403"/>
      <c r="AM312" s="403"/>
    </row>
    <row r="313" spans="1:39" x14ac:dyDescent="0.2">
      <c r="A313" s="449">
        <v>14</v>
      </c>
      <c r="B313" s="450">
        <f t="shared" si="9"/>
        <v>0</v>
      </c>
      <c r="C313" s="403">
        <v>6</v>
      </c>
    </row>
    <row r="314" spans="1:39" x14ac:dyDescent="0.2">
      <c r="A314" s="449">
        <v>15</v>
      </c>
      <c r="B314" s="450">
        <f t="shared" si="9"/>
        <v>0</v>
      </c>
      <c r="C314" s="403">
        <v>4</v>
      </c>
    </row>
    <row r="315" spans="1:39" x14ac:dyDescent="0.2">
      <c r="A315" s="449">
        <v>16</v>
      </c>
      <c r="B315" s="450">
        <f t="shared" si="9"/>
        <v>0</v>
      </c>
      <c r="C315" s="403">
        <v>2</v>
      </c>
    </row>
    <row r="316" spans="1:39" x14ac:dyDescent="0.2">
      <c r="A316" s="449">
        <v>17</v>
      </c>
      <c r="B316" s="450">
        <f t="shared" si="9"/>
        <v>0</v>
      </c>
      <c r="C316" s="451">
        <v>1</v>
      </c>
    </row>
    <row r="317" spans="1:39" x14ac:dyDescent="0.2">
      <c r="A317" s="449">
        <v>18</v>
      </c>
      <c r="B317" s="450">
        <f t="shared" si="9"/>
        <v>0</v>
      </c>
      <c r="C317" s="451">
        <v>1</v>
      </c>
    </row>
    <row r="318" spans="1:39" x14ac:dyDescent="0.2">
      <c r="A318" s="449">
        <v>19</v>
      </c>
      <c r="B318" s="450">
        <f t="shared" si="9"/>
        <v>0</v>
      </c>
      <c r="C318" s="451">
        <v>1</v>
      </c>
    </row>
    <row r="319" spans="1:39" x14ac:dyDescent="0.2">
      <c r="A319" s="449">
        <v>20</v>
      </c>
      <c r="B319" s="450">
        <f t="shared" si="9"/>
        <v>0</v>
      </c>
      <c r="C319" s="451">
        <f>IF(21-A319&gt;0,IF(OR(A319=A320,A318=A319),21-A319-0.5,21-A319),1)</f>
        <v>1</v>
      </c>
    </row>
    <row r="320" spans="1:39" x14ac:dyDescent="0.2">
      <c r="A320" s="449">
        <v>21</v>
      </c>
      <c r="B320" s="450">
        <f t="shared" si="9"/>
        <v>0</v>
      </c>
      <c r="C320" s="451">
        <f>IF(21-A320&gt;0,IF(OR(A320=A321,A319=A320),21-A320-0.5,21-A320),1)</f>
        <v>1</v>
      </c>
    </row>
    <row r="321" spans="1:3" x14ac:dyDescent="0.2">
      <c r="A321" s="449">
        <v>22</v>
      </c>
      <c r="B321" s="450">
        <f t="shared" si="9"/>
        <v>0</v>
      </c>
      <c r="C321" s="451">
        <f>IF(21-A321&gt;0,IF(OR(A321=A322,A320=A321),21-A321-0.5,21-A321),1)</f>
        <v>1</v>
      </c>
    </row>
    <row r="322" spans="1:3" x14ac:dyDescent="0.2">
      <c r="A322" s="449">
        <v>23</v>
      </c>
      <c r="B322" s="450">
        <f t="shared" si="9"/>
        <v>0</v>
      </c>
      <c r="C322" s="451">
        <f>IF(21-A322&gt;0,IF(OR(A322=A323,A321=A322),21-A322-0.5,21-A322),1)</f>
        <v>1</v>
      </c>
    </row>
    <row r="323" spans="1:3" x14ac:dyDescent="0.2">
      <c r="A323" s="449">
        <v>24</v>
      </c>
      <c r="B323" s="450">
        <f t="shared" si="9"/>
        <v>0</v>
      </c>
      <c r="C323" s="451">
        <f>IF(21-A323&gt;0,IF(OR(A323=A324,A322=A323),21-A323-0.5,21-A323),1)</f>
        <v>1</v>
      </c>
    </row>
  </sheetData>
  <conditionalFormatting sqref="A300:A323">
    <cfRule type="duplicateValues" dxfId="42" priority="42"/>
  </conditionalFormatting>
  <conditionalFormatting sqref="B300:B323">
    <cfRule type="expression" dxfId="41" priority="37">
      <formula>A300=3</formula>
    </cfRule>
    <cfRule type="expression" dxfId="40" priority="38">
      <formula>A300=2</formula>
    </cfRule>
    <cfRule type="expression" dxfId="39" priority="39">
      <formula>A300=1</formula>
    </cfRule>
    <cfRule type="containsBlanks" dxfId="38" priority="40">
      <formula>LEN(TRIM(B300))=0</formula>
    </cfRule>
    <cfRule type="duplicateValues" dxfId="37" priority="41"/>
  </conditionalFormatting>
  <conditionalFormatting sqref="A8:A31">
    <cfRule type="duplicateValues" dxfId="36" priority="36"/>
  </conditionalFormatting>
  <conditionalFormatting sqref="C8:C31">
    <cfRule type="expression" dxfId="35" priority="18">
      <formula>IF($C8&gt;$E8,TRUE)</formula>
    </cfRule>
  </conditionalFormatting>
  <conditionalFormatting sqref="E8:E31">
    <cfRule type="expression" dxfId="34" priority="19">
      <formula>IF($C8&lt;$E8,TRUE)</formula>
    </cfRule>
  </conditionalFormatting>
  <conditionalFormatting sqref="K8:K31">
    <cfRule type="expression" dxfId="33" priority="26">
      <formula>IF($K8&gt;$M8,TRUE)</formula>
    </cfRule>
  </conditionalFormatting>
  <conditionalFormatting sqref="M8:M31">
    <cfRule type="expression" dxfId="32" priority="27">
      <formula>IF($K8&lt;$M8,TRUE)</formula>
    </cfRule>
  </conditionalFormatting>
  <conditionalFormatting sqref="O8:O31">
    <cfRule type="expression" dxfId="31" priority="30">
      <formula>IF($O8&gt;$Q8,TRUE)</formula>
    </cfRule>
  </conditionalFormatting>
  <conditionalFormatting sqref="Q8:Q31">
    <cfRule type="expression" dxfId="30" priority="31">
      <formula>IF($O8&lt;$Q8,TRUE)</formula>
    </cfRule>
  </conditionalFormatting>
  <conditionalFormatting sqref="S8:S31">
    <cfRule type="expression" dxfId="29" priority="34">
      <formula>IF($S8&gt;$U8,TRUE)</formula>
    </cfRule>
  </conditionalFormatting>
  <conditionalFormatting sqref="U8:U31">
    <cfRule type="expression" dxfId="28" priority="35">
      <formula>IF($S8&lt;$U8,TRUE)</formula>
    </cfRule>
  </conditionalFormatting>
  <conditionalFormatting sqref="G8:G31">
    <cfRule type="expression" dxfId="27" priority="22">
      <formula>IF($G8&gt;$I8,TRUE)</formula>
    </cfRule>
  </conditionalFormatting>
  <conditionalFormatting sqref="I8:I31">
    <cfRule type="expression" dxfId="26" priority="23">
      <formula>IF($G8&lt;$I8,TRUE)</formula>
    </cfRule>
  </conditionalFormatting>
  <conditionalFormatting sqref="F8:F31">
    <cfRule type="containsText" dxfId="25" priority="9" operator="containsText" text="vaba voor">
      <formula>NOT(ISERROR(SEARCH("vaba voor",F8)))</formula>
    </cfRule>
  </conditionalFormatting>
  <conditionalFormatting sqref="N8:N31">
    <cfRule type="containsText" dxfId="24" priority="7" operator="containsText" text="vaba voor">
      <formula>NOT(ISERROR(SEARCH("vaba voor",N8)))</formula>
    </cfRule>
  </conditionalFormatting>
  <conditionalFormatting sqref="R8:R31">
    <cfRule type="containsText" dxfId="23" priority="10" operator="containsText" text="vaba voor">
      <formula>NOT(ISERROR(SEARCH("vaba voor",R8)))</formula>
    </cfRule>
  </conditionalFormatting>
  <conditionalFormatting sqref="V8:V31">
    <cfRule type="containsText" dxfId="22" priority="6" operator="containsText" text="vaba voor">
      <formula>NOT(ISERROR(SEARCH("vaba voor",V8)))</formula>
    </cfRule>
  </conditionalFormatting>
  <conditionalFormatting sqref="J8:J31">
    <cfRule type="containsText" dxfId="21" priority="8" operator="containsText" text="vaba voor">
      <formula>NOT(ISERROR(SEARCH("vaba voor",J8)))</formula>
    </cfRule>
  </conditionalFormatting>
  <conditionalFormatting sqref="C8:F31">
    <cfRule type="expression" dxfId="20" priority="14">
      <formula>IF(AND(ISNUMBER($C8),$C8=$E8),TRUE)</formula>
    </cfRule>
    <cfRule type="expression" dxfId="19" priority="16">
      <formula>IF($C8&gt;$E8,TRUE)</formula>
    </cfRule>
    <cfRule type="expression" dxfId="18" priority="17">
      <formula>IF($C8&lt;$E8,TRUE)</formula>
    </cfRule>
  </conditionalFormatting>
  <conditionalFormatting sqref="G8:J31">
    <cfRule type="expression" dxfId="17" priority="15">
      <formula>IF(AND(ISNUMBER($G8),$G8=$I8),TRUE)</formula>
    </cfRule>
    <cfRule type="expression" dxfId="16" priority="20">
      <formula>IF($G8&gt;$I8,TRUE)</formula>
    </cfRule>
    <cfRule type="expression" dxfId="15" priority="21">
      <formula>IF($G8&lt;$I8,TRUE)</formula>
    </cfRule>
  </conditionalFormatting>
  <conditionalFormatting sqref="K8:N31">
    <cfRule type="expression" dxfId="14" priority="13">
      <formula>IF(AND(ISNUMBER($K8),$K8=$M8),TRUE)</formula>
    </cfRule>
    <cfRule type="expression" dxfId="13" priority="24">
      <formula>IF($K8&gt;$M8,TRUE)</formula>
    </cfRule>
    <cfRule type="expression" dxfId="12" priority="25">
      <formula>IF($K8&lt;$M8,TRUE)</formula>
    </cfRule>
  </conditionalFormatting>
  <conditionalFormatting sqref="O8:R31">
    <cfRule type="expression" dxfId="11" priority="12">
      <formula>IF(AND(ISNUMBER($O8),$O8=$Q8),TRUE)</formula>
    </cfRule>
    <cfRule type="expression" dxfId="10" priority="28">
      <formula>IF($O8&gt;$Q8,TRUE)</formula>
    </cfRule>
    <cfRule type="expression" dxfId="9" priority="29">
      <formula>IF($O8&lt;$Q8,TRUE)</formula>
    </cfRule>
  </conditionalFormatting>
  <conditionalFormatting sqref="S8:V31">
    <cfRule type="expression" dxfId="8" priority="11">
      <formula>IF(AND(ISNUMBER($S8),$S8=$U8),TRUE)</formula>
    </cfRule>
    <cfRule type="expression" dxfId="7" priority="32">
      <formula>IF($S8&gt;$U8,TRUE)</formula>
    </cfRule>
    <cfRule type="expression" dxfId="6" priority="33">
      <formula>IF($S8&lt;$U8,TRUE)</formula>
    </cfRule>
  </conditionalFormatting>
  <conditionalFormatting sqref="C8:C31 G8:G31 K8:K31 O8:O31 S8:S31">
    <cfRule type="expression" dxfId="5" priority="4">
      <formula>AND(C8=0,E8=13)</formula>
    </cfRule>
  </conditionalFormatting>
  <conditionalFormatting sqref="AF8:AF31 AJ8:AJ31 AL8:AL31">
    <cfRule type="expression" dxfId="4" priority="1">
      <formula>AND(AE8="",COUNTIF(AF8,"*,*")=0)</formula>
    </cfRule>
  </conditionalFormatting>
  <conditionalFormatting sqref="AH8:AH31">
    <cfRule type="expression" dxfId="3" priority="2">
      <formula>AND(AG8="",FIND(",",AH8))</formula>
    </cfRule>
    <cfRule type="expression" dxfId="2" priority="3">
      <formula>AND(AG8="",COUNTIF(AH8,"*,*")=0)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3"/>
  <sheetViews>
    <sheetView zoomScaleNormal="100" workbookViewId="0">
      <selection activeCell="H1" sqref="H1"/>
    </sheetView>
  </sheetViews>
  <sheetFormatPr defaultRowHeight="12.75" x14ac:dyDescent="0.2"/>
  <sheetData>
    <row r="1" spans="1:2" x14ac:dyDescent="0.2">
      <c r="A1">
        <v>0</v>
      </c>
      <c r="B1" s="397">
        <v>0</v>
      </c>
    </row>
    <row r="2" spans="1:2" x14ac:dyDescent="0.2">
      <c r="A2">
        <v>1</v>
      </c>
      <c r="B2" s="397" t="s">
        <v>200</v>
      </c>
    </row>
    <row r="3" spans="1:2" x14ac:dyDescent="0.2">
      <c r="A3">
        <v>2</v>
      </c>
      <c r="B3" s="397" t="s">
        <v>201</v>
      </c>
    </row>
    <row r="4" spans="1:2" x14ac:dyDescent="0.2">
      <c r="A4">
        <v>3</v>
      </c>
      <c r="B4" s="397" t="s">
        <v>202</v>
      </c>
    </row>
    <row r="5" spans="1:2" x14ac:dyDescent="0.2">
      <c r="A5">
        <v>4</v>
      </c>
      <c r="B5" s="397" t="s">
        <v>203</v>
      </c>
    </row>
    <row r="6" spans="1:2" x14ac:dyDescent="0.2">
      <c r="A6">
        <v>5</v>
      </c>
      <c r="B6" s="397" t="s">
        <v>204</v>
      </c>
    </row>
    <row r="7" spans="1:2" x14ac:dyDescent="0.2">
      <c r="A7">
        <v>6</v>
      </c>
      <c r="B7" s="397" t="s">
        <v>205</v>
      </c>
    </row>
    <row r="8" spans="1:2" x14ac:dyDescent="0.2">
      <c r="A8">
        <v>7</v>
      </c>
      <c r="B8" s="397" t="s">
        <v>206</v>
      </c>
    </row>
    <row r="9" spans="1:2" x14ac:dyDescent="0.2">
      <c r="A9">
        <v>8</v>
      </c>
      <c r="B9" s="397" t="s">
        <v>202</v>
      </c>
    </row>
    <row r="10" spans="1:2" x14ac:dyDescent="0.2">
      <c r="A10">
        <v>9</v>
      </c>
      <c r="B10" s="397" t="s">
        <v>203</v>
      </c>
    </row>
    <row r="11" spans="1:2" x14ac:dyDescent="0.2">
      <c r="A11">
        <v>10</v>
      </c>
      <c r="B11" s="397" t="s">
        <v>204</v>
      </c>
    </row>
    <row r="12" spans="1:2" x14ac:dyDescent="0.2">
      <c r="A12">
        <v>11</v>
      </c>
      <c r="B12" s="397" t="s">
        <v>205</v>
      </c>
    </row>
    <row r="13" spans="1:2" x14ac:dyDescent="0.2">
      <c r="A13">
        <v>12</v>
      </c>
      <c r="B13" s="397" t="s">
        <v>206</v>
      </c>
    </row>
    <row r="14" spans="1:2" x14ac:dyDescent="0.2">
      <c r="A14">
        <v>13</v>
      </c>
      <c r="B14" s="397" t="s">
        <v>207</v>
      </c>
    </row>
    <row r="15" spans="1:2" x14ac:dyDescent="0.2">
      <c r="A15">
        <v>14</v>
      </c>
      <c r="B15" s="397" t="s">
        <v>208</v>
      </c>
    </row>
    <row r="16" spans="1:2" x14ac:dyDescent="0.2">
      <c r="A16">
        <v>15</v>
      </c>
      <c r="B16" s="397" t="s">
        <v>91</v>
      </c>
    </row>
    <row r="17" spans="1:2" x14ac:dyDescent="0.2">
      <c r="A17">
        <v>16</v>
      </c>
      <c r="B17" s="397" t="s">
        <v>94</v>
      </c>
    </row>
    <row r="18" spans="1:2" x14ac:dyDescent="0.2">
      <c r="A18">
        <v>17</v>
      </c>
      <c r="B18" s="397" t="s">
        <v>209</v>
      </c>
    </row>
    <row r="19" spans="1:2" x14ac:dyDescent="0.2">
      <c r="A19">
        <v>18</v>
      </c>
      <c r="B19" s="397" t="s">
        <v>179</v>
      </c>
    </row>
    <row r="20" spans="1:2" x14ac:dyDescent="0.2">
      <c r="A20">
        <v>19</v>
      </c>
      <c r="B20" s="397" t="s">
        <v>90</v>
      </c>
    </row>
    <row r="21" spans="1:2" x14ac:dyDescent="0.2">
      <c r="A21">
        <v>20</v>
      </c>
      <c r="B21" s="397" t="s">
        <v>210</v>
      </c>
    </row>
    <row r="22" spans="1:2" x14ac:dyDescent="0.2">
      <c r="A22">
        <v>21</v>
      </c>
      <c r="B22" s="397" t="s">
        <v>211</v>
      </c>
    </row>
    <row r="23" spans="1:2" x14ac:dyDescent="0.2">
      <c r="A23">
        <v>22</v>
      </c>
      <c r="B23" s="397" t="s">
        <v>212</v>
      </c>
    </row>
    <row r="24" spans="1:2" x14ac:dyDescent="0.2">
      <c r="A24">
        <v>23</v>
      </c>
      <c r="B24" s="397" t="s">
        <v>4</v>
      </c>
    </row>
    <row r="25" spans="1:2" x14ac:dyDescent="0.2">
      <c r="A25">
        <v>24</v>
      </c>
      <c r="B25" s="397" t="s">
        <v>213</v>
      </c>
    </row>
    <row r="26" spans="1:2" x14ac:dyDescent="0.2">
      <c r="A26">
        <v>25</v>
      </c>
      <c r="B26" s="397" t="s">
        <v>7</v>
      </c>
    </row>
    <row r="27" spans="1:2" x14ac:dyDescent="0.2">
      <c r="A27">
        <v>26</v>
      </c>
      <c r="B27" s="397" t="s">
        <v>214</v>
      </c>
    </row>
    <row r="28" spans="1:2" x14ac:dyDescent="0.2">
      <c r="A28">
        <v>27</v>
      </c>
      <c r="B28" s="397" t="s">
        <v>183</v>
      </c>
    </row>
    <row r="29" spans="1:2" x14ac:dyDescent="0.2">
      <c r="A29">
        <v>28</v>
      </c>
      <c r="B29" s="397" t="s">
        <v>215</v>
      </c>
    </row>
    <row r="30" spans="1:2" x14ac:dyDescent="0.2">
      <c r="A30">
        <v>29</v>
      </c>
      <c r="B30" s="397" t="s">
        <v>216</v>
      </c>
    </row>
    <row r="31" spans="1:2" x14ac:dyDescent="0.2">
      <c r="A31">
        <v>30</v>
      </c>
      <c r="B31" s="397" t="s">
        <v>217</v>
      </c>
    </row>
    <row r="32" spans="1:2" x14ac:dyDescent="0.2">
      <c r="A32">
        <v>31</v>
      </c>
      <c r="B32" s="397" t="s">
        <v>218</v>
      </c>
    </row>
    <row r="33" spans="2:2" x14ac:dyDescent="0.2">
      <c r="B33" t="s">
        <v>219</v>
      </c>
    </row>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zoomScaleNormal="100" workbookViewId="0">
      <selection activeCell="H1" sqref="H1"/>
    </sheetView>
  </sheetViews>
  <sheetFormatPr defaultRowHeight="12.75" x14ac:dyDescent="0.2"/>
  <sheetData>
    <row r="1" spans="1:9" x14ac:dyDescent="0.2">
      <c r="A1" s="398">
        <v>40</v>
      </c>
      <c r="E1" t="s">
        <v>220</v>
      </c>
    </row>
    <row r="2" spans="1:9" x14ac:dyDescent="0.2">
      <c r="A2" s="398">
        <v>34</v>
      </c>
    </row>
    <row r="3" spans="1:9" x14ac:dyDescent="0.2">
      <c r="A3" s="398">
        <v>30</v>
      </c>
      <c r="E3" s="399" t="s">
        <v>221</v>
      </c>
      <c r="F3" s="399"/>
      <c r="G3" s="399"/>
      <c r="H3" s="399"/>
      <c r="I3" s="399"/>
    </row>
    <row r="4" spans="1:9" x14ac:dyDescent="0.2">
      <c r="A4" s="398">
        <v>26</v>
      </c>
    </row>
    <row r="5" spans="1:9" x14ac:dyDescent="0.2">
      <c r="A5" s="398">
        <v>24</v>
      </c>
    </row>
    <row r="6" spans="1:9" x14ac:dyDescent="0.2">
      <c r="A6" s="398">
        <v>22</v>
      </c>
    </row>
    <row r="7" spans="1:9" x14ac:dyDescent="0.2">
      <c r="A7" s="398">
        <v>20</v>
      </c>
    </row>
    <row r="8" spans="1:9" x14ac:dyDescent="0.2">
      <c r="A8" s="398">
        <v>18</v>
      </c>
    </row>
    <row r="9" spans="1:9" x14ac:dyDescent="0.2">
      <c r="A9" s="398">
        <v>16</v>
      </c>
    </row>
    <row r="10" spans="1:9" x14ac:dyDescent="0.2">
      <c r="A10" s="398">
        <v>14</v>
      </c>
    </row>
    <row r="11" spans="1:9" x14ac:dyDescent="0.2">
      <c r="A11" s="398">
        <v>12</v>
      </c>
    </row>
    <row r="12" spans="1:9" x14ac:dyDescent="0.2">
      <c r="A12" s="398">
        <v>10</v>
      </c>
    </row>
    <row r="13" spans="1:9" x14ac:dyDescent="0.2">
      <c r="A13" s="398">
        <v>8</v>
      </c>
    </row>
    <row r="14" spans="1:9" x14ac:dyDescent="0.2">
      <c r="A14" s="398">
        <v>6</v>
      </c>
    </row>
    <row r="15" spans="1:9" x14ac:dyDescent="0.2">
      <c r="A15" s="398">
        <v>4</v>
      </c>
    </row>
    <row r="16" spans="1:9" x14ac:dyDescent="0.2">
      <c r="A16" s="398">
        <v>2</v>
      </c>
    </row>
    <row r="17" spans="1:2" x14ac:dyDescent="0.2">
      <c r="A17" s="398">
        <v>1</v>
      </c>
    </row>
    <row r="18" spans="1:2" x14ac:dyDescent="0.2">
      <c r="A18" s="400">
        <v>0</v>
      </c>
      <c r="B18" t="s">
        <v>222</v>
      </c>
    </row>
    <row r="19" spans="1:2" x14ac:dyDescent="0.2">
      <c r="A19" s="401" t="s">
        <v>164</v>
      </c>
      <c r="B19" t="s">
        <v>223</v>
      </c>
    </row>
  </sheetData>
  <conditionalFormatting sqref="A18">
    <cfRule type="duplicateValues" dxfId="1" priority="1"/>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H1" sqref="H1"/>
    </sheetView>
  </sheetViews>
  <sheetFormatPr defaultRowHeight="12.75" x14ac:dyDescent="0.2"/>
  <sheetData>
    <row r="1" spans="1:9" x14ac:dyDescent="0.2">
      <c r="A1" s="398">
        <v>20</v>
      </c>
      <c r="B1" s="402" t="s">
        <v>224</v>
      </c>
      <c r="C1" s="402"/>
      <c r="D1" s="402"/>
      <c r="E1" t="s">
        <v>225</v>
      </c>
    </row>
    <row r="2" spans="1:9" x14ac:dyDescent="0.2">
      <c r="A2" s="398">
        <v>19</v>
      </c>
    </row>
    <row r="3" spans="1:9" x14ac:dyDescent="0.2">
      <c r="A3" s="398">
        <v>18</v>
      </c>
      <c r="E3" s="399" t="s">
        <v>221</v>
      </c>
      <c r="F3" s="399"/>
      <c r="G3" s="399"/>
      <c r="H3" s="399"/>
      <c r="I3" s="399"/>
    </row>
    <row r="4" spans="1:9" x14ac:dyDescent="0.2">
      <c r="A4" s="398">
        <v>17</v>
      </c>
    </row>
    <row r="5" spans="1:9" x14ac:dyDescent="0.2">
      <c r="A5" s="398">
        <v>16</v>
      </c>
    </row>
    <row r="6" spans="1:9" x14ac:dyDescent="0.2">
      <c r="A6" s="398">
        <v>15</v>
      </c>
      <c r="E6" t="s">
        <v>226</v>
      </c>
    </row>
    <row r="7" spans="1:9" x14ac:dyDescent="0.2">
      <c r="A7" s="398">
        <v>14</v>
      </c>
    </row>
    <row r="8" spans="1:9" x14ac:dyDescent="0.2">
      <c r="A8" s="398">
        <v>13</v>
      </c>
    </row>
    <row r="9" spans="1:9" x14ac:dyDescent="0.2">
      <c r="A9" s="398">
        <v>12</v>
      </c>
    </row>
    <row r="10" spans="1:9" x14ac:dyDescent="0.2">
      <c r="A10" s="398">
        <v>11</v>
      </c>
    </row>
    <row r="11" spans="1:9" x14ac:dyDescent="0.2">
      <c r="A11" s="398">
        <v>10</v>
      </c>
    </row>
    <row r="12" spans="1:9" x14ac:dyDescent="0.2">
      <c r="A12" s="398">
        <v>9</v>
      </c>
    </row>
    <row r="13" spans="1:9" x14ac:dyDescent="0.2">
      <c r="A13" s="398">
        <v>8</v>
      </c>
    </row>
    <row r="14" spans="1:9" x14ac:dyDescent="0.2">
      <c r="A14" s="398">
        <v>7</v>
      </c>
    </row>
    <row r="15" spans="1:9" x14ac:dyDescent="0.2">
      <c r="A15" s="398">
        <v>6</v>
      </c>
    </row>
    <row r="16" spans="1:9" x14ac:dyDescent="0.2">
      <c r="A16" s="398">
        <v>5</v>
      </c>
    </row>
    <row r="17" spans="1:2" x14ac:dyDescent="0.2">
      <c r="A17" s="398">
        <v>4</v>
      </c>
    </row>
    <row r="18" spans="1:2" x14ac:dyDescent="0.2">
      <c r="A18" s="398">
        <v>3</v>
      </c>
    </row>
    <row r="19" spans="1:2" x14ac:dyDescent="0.2">
      <c r="A19" s="398">
        <v>2</v>
      </c>
    </row>
    <row r="20" spans="1:2" x14ac:dyDescent="0.2">
      <c r="A20" s="398">
        <v>1</v>
      </c>
    </row>
    <row r="21" spans="1:2" x14ac:dyDescent="0.2">
      <c r="A21" s="400">
        <v>0</v>
      </c>
      <c r="B21" t="s">
        <v>222</v>
      </c>
    </row>
    <row r="22" spans="1:2" x14ac:dyDescent="0.2">
      <c r="A22" s="401" t="s">
        <v>164</v>
      </c>
      <c r="B22" t="s">
        <v>223</v>
      </c>
    </row>
  </sheetData>
  <conditionalFormatting sqref="A21">
    <cfRule type="duplicateValues" dxfId="0" priority="1"/>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07"/>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58" customWidth="1"/>
    <col min="3" max="9" width="5.2851562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7" width="0" hidden="1" customWidth="1"/>
    <col min="29" max="29" width="9.140625" customWidth="1"/>
    <col min="30" max="31" width="9.140625" hidden="1" customWidth="1"/>
    <col min="32" max="32" width="16.5703125" hidden="1" customWidth="1"/>
    <col min="33" max="33" width="9.140625" hidden="1" customWidth="1"/>
    <col min="34" max="34" width="30.7109375" hidden="1" customWidth="1"/>
    <col min="35" max="35" width="9.140625" hidden="1" customWidth="1"/>
    <col min="36" max="36" width="17.28515625" hidden="1" customWidth="1"/>
    <col min="37" max="37" width="9.140625" hidden="1" customWidth="1"/>
    <col min="38" max="38" width="18.7109375" hidden="1" customWidth="1"/>
    <col min="39" max="39" width="9.140625" hidden="1" customWidth="1"/>
    <col min="40" max="40" width="17.28515625" hidden="1" customWidth="1"/>
    <col min="41" max="41" width="0" hidden="1" customWidth="1"/>
    <col min="42" max="42" width="13.85546875" hidden="1" customWidth="1"/>
  </cols>
  <sheetData>
    <row r="1" spans="1:42" x14ac:dyDescent="0.2">
      <c r="A1" s="462" t="str">
        <f>UPPER((Kalend!E6)&amp;" - "&amp;(Kalend!C6)&amp;" - "&amp;(Kalend!D6))</f>
        <v>1 - K-JÄRVE 20. KV 1. ETAPP - TRIO</v>
      </c>
      <c r="B1" s="405"/>
      <c r="C1" s="405"/>
      <c r="D1" s="405"/>
      <c r="E1" s="405"/>
      <c r="F1" s="405"/>
      <c r="G1" s="405"/>
      <c r="L1" s="406"/>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"&amp;(Kalend!A6)&amp;" kell "&amp;(Kalend!B6)</f>
        <v>Toimumisaeg: N, 13.05.2021 kell 11:00</v>
      </c>
      <c r="O2" s="410"/>
      <c r="AD2" s="409"/>
      <c r="AE2" s="409"/>
      <c r="AF2" s="409"/>
      <c r="AG2" s="409"/>
      <c r="AH2" s="409"/>
      <c r="AI2" s="585"/>
      <c r="AJ2" s="409"/>
      <c r="AK2" s="409"/>
      <c r="AL2" s="409"/>
      <c r="AM2" s="409"/>
      <c r="AN2" s="409"/>
    </row>
    <row r="3" spans="1:42" x14ac:dyDescent="0.2">
      <c r="A3" s="409" t="str">
        <f>"Toimumiskoht: "&amp;(Kalend!F6)</f>
        <v>Toimumiskoht: K-Järve spordihoone</v>
      </c>
      <c r="AD3" s="409"/>
      <c r="AF3" s="409"/>
      <c r="AG3" s="409"/>
      <c r="AH3" s="409"/>
      <c r="AI3" s="409"/>
      <c r="AJ3" s="409"/>
      <c r="AK3" s="409"/>
      <c r="AL3" s="409"/>
      <c r="AM3" s="409"/>
      <c r="AN3" s="409"/>
    </row>
    <row r="4" spans="1:42" x14ac:dyDescent="0.2">
      <c r="A4" s="409" t="str">
        <f>"Korraldaja: "&amp;(Kalend!G6)</f>
        <v>Korraldaja: Ivar Viljaste</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551"/>
      <c r="C6" s="552">
        <v>1</v>
      </c>
      <c r="D6" s="552">
        <v>2</v>
      </c>
      <c r="E6" s="552">
        <v>3</v>
      </c>
      <c r="F6" s="552">
        <v>4</v>
      </c>
      <c r="G6" s="552"/>
      <c r="H6" s="552" t="s">
        <v>288</v>
      </c>
      <c r="I6" s="553" t="s">
        <v>270</v>
      </c>
      <c r="J6" s="554" t="s">
        <v>289</v>
      </c>
      <c r="K6" s="555" t="s">
        <v>290</v>
      </c>
      <c r="L6" s="556" t="s">
        <v>291</v>
      </c>
      <c r="M6" s="556" t="s">
        <v>292</v>
      </c>
      <c r="N6" s="557" t="s">
        <v>293</v>
      </c>
      <c r="O6" s="557" t="s">
        <v>293</v>
      </c>
      <c r="P6" s="589" t="s">
        <v>294</v>
      </c>
      <c r="Q6" s="558" t="s">
        <v>183</v>
      </c>
      <c r="R6" s="558" t="b">
        <f>OR(AND(COUNTA(B7:B11)=3,COUNTA(C7:G11)=6),AND(COUNTA(B7:B11)=4,COUNTA(C7:G11)=12),AND(COUNTA(B7:B11)=5,COUNTA(C7:G11)=20))</f>
        <v>0</v>
      </c>
      <c r="S6" s="559" t="s">
        <v>295</v>
      </c>
      <c r="T6" s="560" t="s">
        <v>296</v>
      </c>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561" t="s">
        <v>433</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AD7" s="458">
        <f ca="1">SUM(AE7:AL7)</f>
        <v>834</v>
      </c>
      <c r="AE7" s="459">
        <f ca="1">IFERROR(INDEX(Reit!$I:$I,MATCH(AF7,Reit!$F:$F,0)),"")</f>
        <v>248</v>
      </c>
      <c r="AF7" s="460" t="str">
        <f t="shared" ref="AF7:AF31" si="0">IFERROR(LEFT($B7,(FIND(",",$B7,1)-1)),"")</f>
        <v>Jaan Sepp</v>
      </c>
      <c r="AG7" s="459" t="str">
        <f>IFERROR(INDEX(Reit!$I:$I,MATCH(AH7,Reit!$F:$F,0)),"")</f>
        <v/>
      </c>
      <c r="AH7" s="460" t="str">
        <f t="shared" ref="AH7:AH31" si="1">IFERROR(MID($B7,FIND(", ",$B7)+2,256),"")</f>
        <v>Matti Vinni, Oskar Sepp</v>
      </c>
      <c r="AI7" s="459">
        <f ca="1">IFERROR(INDEX(Reit!$I:$I,MATCH(AJ7,Reit!$F:$F,0)),"")</f>
        <v>294</v>
      </c>
      <c r="AJ7" s="460" t="str">
        <f t="shared" ref="AJ7:AJ31" si="2">IFERROR(MID($B7,FIND("^",SUBSTITUTE($B7,", ","^",1))+2,FIND("^",SUBSTITUTE($B7,", ","^",2))-FIND("^",SUBSTITUTE($B7,", ","^",1))-2),"")</f>
        <v>Matti Vinni</v>
      </c>
      <c r="AK7" s="459">
        <f ca="1">IFERROR(INDEX(Reit!$I:$I,MATCH(AL7,Reit!$F:$F,0)),"")</f>
        <v>292</v>
      </c>
      <c r="AL7" s="460" t="str">
        <f t="shared" ref="AL7:AL31" si="3">IFERROR(MID($B7,FIND(", ",$B7,FIND(", ",$B7,FIND(", ",$B7))+1)+2,30000),"")</f>
        <v>Oskar Sepp</v>
      </c>
      <c r="AM7" s="459" t="str">
        <f>IFERROR(INDEX(Reit!$I:$I,MATCH(AN7,Reit!$F:$F,0)),"")</f>
        <v/>
      </c>
      <c r="AN7" s="460" t="str">
        <f t="shared" ref="AN7:AN31" si="4">IFERROR(MID($B7,FIND(", ",$B7,FIND(", ",$B7)+1)+2,FIND(", ",$B7,FIND(", ",$B7,FIND(", ",$B7)+1)+1)-FIND(", ",$B7,FIND(", ",$B7)+1)-2),"")</f>
        <v/>
      </c>
      <c r="AO7" s="459" t="str">
        <f>IFERROR(INDEX(Reit!$I:$I,MATCH(AP7,Reit!$F:$F,0)),"")</f>
        <v/>
      </c>
      <c r="AP7" s="460" t="str">
        <f t="shared" ref="AP7:AP31" si="5">IFERROR(MID($B7,FIND(", ",$B7,FIND(", ",$B7,FIND(", ",$B7)+1)+1)+2,30000),"")</f>
        <v/>
      </c>
    </row>
    <row r="8" spans="1:42" hidden="1" x14ac:dyDescent="0.2">
      <c r="A8" s="550">
        <v>2</v>
      </c>
      <c r="B8" s="576" t="s">
        <v>434</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AD8" s="458">
        <f ca="1">SUM(AE8:AL8)</f>
        <v>635</v>
      </c>
      <c r="AE8" s="459">
        <f ca="1">IFERROR(INDEX(Reit!$I:$I,MATCH(AF8,Reit!$F:$F,0)),"")</f>
        <v>185</v>
      </c>
      <c r="AF8" s="460" t="str">
        <f t="shared" si="0"/>
        <v>Boriss Klubov</v>
      </c>
      <c r="AG8" s="459" t="str">
        <f>IFERROR(INDEX(Reit!$I:$I,MATCH(AH8,Reit!$F:$F,0)),"")</f>
        <v/>
      </c>
      <c r="AH8" s="460" t="str">
        <f t="shared" si="1"/>
        <v>Ivar Viljaste, Meelis Luud</v>
      </c>
      <c r="AI8" s="459">
        <f ca="1">IFERROR(INDEX(Reit!$I:$I,MATCH(AJ8,Reit!$F:$F,0)),"")</f>
        <v>272</v>
      </c>
      <c r="AJ8" s="460" t="str">
        <f t="shared" si="2"/>
        <v>Ivar Viljaste</v>
      </c>
      <c r="AK8" s="459">
        <f ca="1">IFERROR(INDEX(Reit!$I:$I,MATCH(AL8,Reit!$F:$F,0)),"")</f>
        <v>178</v>
      </c>
      <c r="AL8" s="460" t="str">
        <f t="shared" si="3"/>
        <v>Meelis Luud</v>
      </c>
      <c r="AM8" s="459" t="str">
        <f>IFERROR(INDEX(Reit!$I:$I,MATCH(AN8,Reit!$F:$F,0)),"")</f>
        <v/>
      </c>
      <c r="AN8" s="460" t="str">
        <f t="shared" si="4"/>
        <v/>
      </c>
      <c r="AO8" s="459" t="str">
        <f>IFERROR(INDEX(Reit!$I:$I,MATCH(AP8,Reit!$F:$F,0)),"")</f>
        <v/>
      </c>
      <c r="AP8" s="460" t="str">
        <f t="shared" si="5"/>
        <v/>
      </c>
    </row>
    <row r="9" spans="1:42" hidden="1" x14ac:dyDescent="0.2">
      <c r="A9" s="550">
        <v>3</v>
      </c>
      <c r="B9" s="576" t="s">
        <v>435</v>
      </c>
      <c r="C9" s="564"/>
      <c r="D9" s="580"/>
      <c r="E9" s="562"/>
      <c r="F9" s="564"/>
      <c r="G9" s="564"/>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AD9" s="458">
        <f ca="1">SUM(AE9:AL9)</f>
        <v>614</v>
      </c>
      <c r="AE9" s="459">
        <f ca="1">IFERROR(INDEX(Reit!$I:$I,MATCH(AF9,Reit!$F:$F,0)),"")</f>
        <v>197</v>
      </c>
      <c r="AF9" s="460" t="str">
        <f t="shared" si="0"/>
        <v>Andres Veski</v>
      </c>
      <c r="AG9" s="459" t="str">
        <f>IFERROR(INDEX(Reit!$I:$I,MATCH(AH9,Reit!$F:$F,0)),"")</f>
        <v/>
      </c>
      <c r="AH9" s="460" t="str">
        <f t="shared" si="1"/>
        <v>Kaspar Mänd, Svetlana Veski</v>
      </c>
      <c r="AI9" s="459">
        <f ca="1">IFERROR(INDEX(Reit!$I:$I,MATCH(AJ9,Reit!$F:$F,0)),"")</f>
        <v>211</v>
      </c>
      <c r="AJ9" s="460" t="str">
        <f t="shared" si="2"/>
        <v>Kaspar Mänd</v>
      </c>
      <c r="AK9" s="459">
        <f ca="1">IFERROR(INDEX(Reit!$I:$I,MATCH(AL9,Reit!$F:$F,0)),"")</f>
        <v>206</v>
      </c>
      <c r="AL9" s="460" t="str">
        <f t="shared" si="3"/>
        <v>Svetlana Veski</v>
      </c>
      <c r="AM9" s="459" t="str">
        <f>IFERROR(INDEX(Reit!$I:$I,MATCH(AN9,Reit!$F:$F,0)),"")</f>
        <v/>
      </c>
      <c r="AN9" s="460" t="str">
        <f t="shared" si="4"/>
        <v/>
      </c>
      <c r="AO9" s="459" t="str">
        <f>IFERROR(INDEX(Reit!$I:$I,MATCH(AP9,Reit!$F:$F,0)),"")</f>
        <v/>
      </c>
      <c r="AP9" s="460" t="str">
        <f t="shared" si="5"/>
        <v/>
      </c>
    </row>
    <row r="10" spans="1:42" hidden="1" x14ac:dyDescent="0.2">
      <c r="A10" s="550">
        <v>4</v>
      </c>
      <c r="B10" s="581" t="s">
        <v>436</v>
      </c>
      <c r="C10" s="564"/>
      <c r="D10" s="580"/>
      <c r="E10" s="564"/>
      <c r="F10" s="562"/>
      <c r="G10" s="591"/>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AD10" s="458">
        <f ca="1">SUM(AE10:AL10)</f>
        <v>530</v>
      </c>
      <c r="AE10" s="459">
        <f ca="1">IFERROR(INDEX(Reit!$I:$I,MATCH(AF10,Reit!$F:$F,0)),"")</f>
        <v>286</v>
      </c>
      <c r="AF10" s="460" t="str">
        <f t="shared" si="0"/>
        <v>Henri Mitt</v>
      </c>
      <c r="AG10" s="459" t="str">
        <f>IFERROR(INDEX(Reit!$I:$I,MATCH(AH10,Reit!$F:$F,0)),"")</f>
        <v/>
      </c>
      <c r="AH10" s="460" t="str">
        <f t="shared" si="1"/>
        <v>Jaan Saar, Sander Rose</v>
      </c>
      <c r="AI10" s="459">
        <f ca="1">IFERROR(INDEX(Reit!$I:$I,MATCH(AJ10,Reit!$F:$F,0)),"")</f>
        <v>88</v>
      </c>
      <c r="AJ10" s="460" t="str">
        <f t="shared" si="2"/>
        <v>Jaan Saar</v>
      </c>
      <c r="AK10" s="459">
        <f ca="1">IFERROR(INDEX(Reit!$I:$I,MATCH(AL10,Reit!$F:$F,0)),"")</f>
        <v>156</v>
      </c>
      <c r="AL10" s="460" t="str">
        <f t="shared" si="3"/>
        <v>Sander Rose</v>
      </c>
      <c r="AM10" s="459" t="str">
        <f>IFERROR(INDEX(Reit!$I:$I,MATCH(AN10,Reit!$F:$F,0)),"")</f>
        <v/>
      </c>
      <c r="AN10" s="460" t="str">
        <f t="shared" si="4"/>
        <v/>
      </c>
      <c r="AO10" s="459" t="str">
        <f>IFERROR(INDEX(Reit!$I:$I,MATCH(AP10,Reit!$F:$F,0)),"")</f>
        <v/>
      </c>
      <c r="AP10" s="460" t="str">
        <f t="shared" si="5"/>
        <v/>
      </c>
    </row>
    <row r="11" spans="1:42" hidden="1" x14ac:dyDescent="0.2">
      <c r="A11" s="550"/>
      <c r="B11" s="581"/>
      <c r="C11" s="564"/>
      <c r="D11" s="564"/>
      <c r="E11" s="564"/>
      <c r="F11" s="564"/>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c r="AD11" s="458">
        <f t="shared" ref="AD11:AD31" si="6">SUM(AE11:AL11)</f>
        <v>0</v>
      </c>
      <c r="AE11" s="459" t="str">
        <f>IFERROR(INDEX(Reit!$I:$I,MATCH(AF11,Reit!$F:$F,0)),"")</f>
        <v/>
      </c>
      <c r="AF11" s="460" t="str">
        <f t="shared" si="0"/>
        <v/>
      </c>
      <c r="AG11" s="459" t="str">
        <f>IFERROR(INDEX(Reit!$I:$I,MATCH(AH11,Reit!$F:$F,0)),"")</f>
        <v/>
      </c>
      <c r="AH11" s="460" t="str">
        <f t="shared" si="1"/>
        <v/>
      </c>
      <c r="AI11" s="459" t="str">
        <f>IFERROR(INDEX(Reit!$I:$I,MATCH(AJ11,Reit!$F:$F,0)),"")</f>
        <v/>
      </c>
      <c r="AJ11" s="460" t="str">
        <f t="shared" si="2"/>
        <v/>
      </c>
      <c r="AK11" s="459" t="str">
        <f>IFERROR(INDEX(Reit!$I:$I,MATCH(AL11,Reit!$F:$F,0)),"")</f>
        <v/>
      </c>
      <c r="AL11" s="460" t="str">
        <f t="shared" si="3"/>
        <v/>
      </c>
      <c r="AM11" s="459" t="str">
        <f>IFERROR(INDEX(Reit!$I:$I,MATCH(AN11,Reit!$F:$F,0)),"")</f>
        <v/>
      </c>
      <c r="AN11" s="460" t="str">
        <f t="shared" si="4"/>
        <v/>
      </c>
      <c r="AO11" s="459" t="str">
        <f>IFERROR(INDEX(Reit!$I:$I,MATCH(AP11,Reit!$F:$F,0)),"")</f>
        <v/>
      </c>
      <c r="AP11" s="460" t="str">
        <f t="shared" si="5"/>
        <v/>
      </c>
    </row>
    <row r="12" spans="1:42" hidden="1" x14ac:dyDescent="0.2">
      <c r="A12" s="592"/>
      <c r="B12" s="593"/>
      <c r="C12" s="594"/>
      <c r="D12" s="595"/>
      <c r="E12" s="594"/>
      <c r="F12" s="596"/>
      <c r="G12" s="597"/>
      <c r="H12" s="598"/>
      <c r="I12" s="405"/>
      <c r="J12" s="584"/>
      <c r="K12" s="584"/>
      <c r="L12" s="584"/>
      <c r="M12" s="584"/>
      <c r="N12" s="584"/>
      <c r="O12" s="584"/>
      <c r="P12" s="584"/>
      <c r="Q12" s="584"/>
      <c r="R12" s="588" t="s">
        <v>311</v>
      </c>
      <c r="S12" s="584"/>
      <c r="T12" s="584"/>
      <c r="AD12" s="458">
        <f t="shared" si="6"/>
        <v>0</v>
      </c>
      <c r="AE12" s="459" t="str">
        <f>IFERROR(INDEX(Reit!$I:$I,MATCH(AF12,Reit!$F:$F,0)),"")</f>
        <v/>
      </c>
      <c r="AF12" s="460" t="str">
        <f t="shared" si="0"/>
        <v/>
      </c>
      <c r="AG12" s="459" t="str">
        <f>IFERROR(INDEX(Reit!$I:$I,MATCH(AH12,Reit!$F:$F,0)),"")</f>
        <v/>
      </c>
      <c r="AH12" s="460" t="str">
        <f t="shared" si="1"/>
        <v/>
      </c>
      <c r="AI12" s="459" t="str">
        <f>IFERROR(INDEX(Reit!$I:$I,MATCH(AJ12,Reit!$F:$F,0)),"")</f>
        <v/>
      </c>
      <c r="AJ12" s="460" t="str">
        <f t="shared" si="2"/>
        <v/>
      </c>
      <c r="AK12" s="459" t="str">
        <f>IFERROR(INDEX(Reit!$I:$I,MATCH(AL12,Reit!$F:$F,0)),"")</f>
        <v/>
      </c>
      <c r="AL12" s="460" t="str">
        <f t="shared" si="3"/>
        <v/>
      </c>
      <c r="AM12" s="459" t="str">
        <f>IFERROR(INDEX(Reit!$I:$I,MATCH(AN12,Reit!$F:$F,0)),"")</f>
        <v/>
      </c>
      <c r="AN12" s="460" t="str">
        <f t="shared" si="4"/>
        <v/>
      </c>
      <c r="AO12" s="459" t="str">
        <f>IFERROR(INDEX(Reit!$I:$I,MATCH(AP12,Reit!$F:$F,0)),"")</f>
        <v/>
      </c>
      <c r="AP12" s="460" t="str">
        <f t="shared" si="5"/>
        <v/>
      </c>
    </row>
    <row r="13" spans="1:42" hidden="1" x14ac:dyDescent="0.2">
      <c r="A13" s="550" t="s">
        <v>201</v>
      </c>
      <c r="B13" s="551"/>
      <c r="C13" s="552">
        <v>1</v>
      </c>
      <c r="D13" s="552">
        <v>2</v>
      </c>
      <c r="E13" s="552">
        <v>3</v>
      </c>
      <c r="F13" s="552">
        <v>4</v>
      </c>
      <c r="G13" s="552"/>
      <c r="H13" s="553" t="s">
        <v>288</v>
      </c>
      <c r="I13" s="553" t="s">
        <v>270</v>
      </c>
      <c r="J13" s="554" t="s">
        <v>289</v>
      </c>
      <c r="K13" s="555" t="s">
        <v>290</v>
      </c>
      <c r="L13" s="556" t="s">
        <v>291</v>
      </c>
      <c r="M13" s="556" t="s">
        <v>292</v>
      </c>
      <c r="N13" s="557" t="s">
        <v>293</v>
      </c>
      <c r="O13" s="557" t="s">
        <v>293</v>
      </c>
      <c r="P13" s="589" t="s">
        <v>294</v>
      </c>
      <c r="Q13" s="558" t="s">
        <v>183</v>
      </c>
      <c r="R13" s="558" t="b">
        <f>OR(AND(COUNTA(B14:B18)=3,COUNTA(C14:G18)=6),AND(COUNTA(B14:B18)=4,COUNTA(C14:G18)=12),AND(COUNTA(B14:B18)=5,COUNTA(C14:G18)=20))</f>
        <v>0</v>
      </c>
      <c r="S13" s="559" t="s">
        <v>295</v>
      </c>
      <c r="T13" s="560" t="s">
        <v>296</v>
      </c>
      <c r="AD13" s="458">
        <f t="shared" si="6"/>
        <v>0</v>
      </c>
      <c r="AE13" s="459" t="str">
        <f>IFERROR(INDEX(Reit!$I:$I,MATCH(AF13,Reit!$F:$F,0)),"")</f>
        <v/>
      </c>
      <c r="AF13" s="460" t="str">
        <f t="shared" si="0"/>
        <v/>
      </c>
      <c r="AG13" s="459" t="str">
        <f>IFERROR(INDEX(Reit!$I:$I,MATCH(AH13,Reit!$F:$F,0)),"")</f>
        <v/>
      </c>
      <c r="AH13" s="460" t="str">
        <f t="shared" si="1"/>
        <v/>
      </c>
      <c r="AI13" s="459" t="str">
        <f>IFERROR(INDEX(Reit!$I:$I,MATCH(AJ13,Reit!$F:$F,0)),"")</f>
        <v/>
      </c>
      <c r="AJ13" s="460" t="str">
        <f t="shared" si="2"/>
        <v/>
      </c>
      <c r="AK13" s="459" t="str">
        <f>IFERROR(INDEX(Reit!$I:$I,MATCH(AL13,Reit!$F:$F,0)),"")</f>
        <v/>
      </c>
      <c r="AL13" s="460" t="str">
        <f t="shared" si="3"/>
        <v/>
      </c>
      <c r="AM13" s="459" t="str">
        <f>IFERROR(INDEX(Reit!$I:$I,MATCH(AN13,Reit!$F:$F,0)),"")</f>
        <v/>
      </c>
      <c r="AN13" s="460" t="str">
        <f t="shared" si="4"/>
        <v/>
      </c>
      <c r="AO13" s="459" t="str">
        <f>IFERROR(INDEX(Reit!$I:$I,MATCH(AP13,Reit!$F:$F,0)),"")</f>
        <v/>
      </c>
      <c r="AP13" s="460" t="str">
        <f t="shared" si="5"/>
        <v/>
      </c>
    </row>
    <row r="14" spans="1:42" hidden="1" x14ac:dyDescent="0.2">
      <c r="A14" s="550">
        <v>1</v>
      </c>
      <c r="B14" s="534" t="s">
        <v>437</v>
      </c>
      <c r="C14" s="562"/>
      <c r="D14" s="564"/>
      <c r="E14" s="564"/>
      <c r="F14" s="564"/>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AD14" s="458">
        <f t="shared" ca="1" si="6"/>
        <v>469</v>
      </c>
      <c r="AE14" s="459">
        <f ca="1">IFERROR(INDEX(Reit!$I:$I,MATCH(AF14,Reit!$F:$F,0)),"")</f>
        <v>273</v>
      </c>
      <c r="AF14" s="460" t="str">
        <f t="shared" si="0"/>
        <v>Kenneth Muusikus</v>
      </c>
      <c r="AG14" s="459" t="str">
        <f>IFERROR(INDEX(Reit!$I:$I,MATCH(AH14,Reit!$F:$F,0)),"")</f>
        <v/>
      </c>
      <c r="AH14" s="460" t="str">
        <f t="shared" si="1"/>
        <v>Olav Türk, Urmas Jõeäär</v>
      </c>
      <c r="AI14" s="459">
        <f ca="1">IFERROR(INDEX(Reit!$I:$I,MATCH(AJ14,Reit!$F:$F,0)),"")</f>
        <v>116</v>
      </c>
      <c r="AJ14" s="460" t="str">
        <f t="shared" si="2"/>
        <v>Olav Türk</v>
      </c>
      <c r="AK14" s="459">
        <f ca="1">IFERROR(INDEX(Reit!$I:$I,MATCH(AL14,Reit!$F:$F,0)),"")</f>
        <v>80</v>
      </c>
      <c r="AL14" s="460" t="str">
        <f t="shared" si="3"/>
        <v>Urmas Jõeäär</v>
      </c>
      <c r="AM14" s="459" t="str">
        <f>IFERROR(INDEX(Reit!$I:$I,MATCH(AN14,Reit!$F:$F,0)),"")</f>
        <v/>
      </c>
      <c r="AN14" s="460" t="str">
        <f t="shared" si="4"/>
        <v/>
      </c>
      <c r="AO14" s="459" t="str">
        <f>IFERROR(INDEX(Reit!$I:$I,MATCH(AP14,Reit!$F:$F,0)),"")</f>
        <v/>
      </c>
      <c r="AP14" s="460" t="str">
        <f t="shared" si="5"/>
        <v/>
      </c>
    </row>
    <row r="15" spans="1:42" hidden="1" x14ac:dyDescent="0.2">
      <c r="A15" s="550">
        <v>2</v>
      </c>
      <c r="B15" s="561" t="s">
        <v>438</v>
      </c>
      <c r="C15" s="564"/>
      <c r="D15" s="562"/>
      <c r="E15" s="564"/>
      <c r="F15" s="564"/>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AD15" s="458">
        <f t="shared" ca="1" si="6"/>
        <v>594</v>
      </c>
      <c r="AE15" s="459">
        <f ca="1">IFERROR(INDEX(Reit!$I:$I,MATCH(AF15,Reit!$F:$F,0)),"")</f>
        <v>232</v>
      </c>
      <c r="AF15" s="460" t="str">
        <f t="shared" si="0"/>
        <v>Aarne Välja</v>
      </c>
      <c r="AG15" s="459" t="str">
        <f>IFERROR(INDEX(Reit!$I:$I,MATCH(AH15,Reit!$F:$F,0)),"")</f>
        <v/>
      </c>
      <c r="AH15" s="460" t="str">
        <f t="shared" si="1"/>
        <v>Janek Tarto, Oleg Rõndenkov</v>
      </c>
      <c r="AI15" s="459">
        <f ca="1">IFERROR(INDEX(Reit!$I:$I,MATCH(AJ15,Reit!$F:$F,0)),"")</f>
        <v>150</v>
      </c>
      <c r="AJ15" s="460" t="str">
        <f t="shared" si="2"/>
        <v>Janek Tarto</v>
      </c>
      <c r="AK15" s="459">
        <f ca="1">IFERROR(INDEX(Reit!$I:$I,MATCH(AL15,Reit!$F:$F,0)),"")</f>
        <v>212</v>
      </c>
      <c r="AL15" s="460" t="str">
        <f t="shared" si="3"/>
        <v>Oleg Rõndenkov</v>
      </c>
      <c r="AM15" s="459" t="str">
        <f>IFERROR(INDEX(Reit!$I:$I,MATCH(AN15,Reit!$F:$F,0)),"")</f>
        <v/>
      </c>
      <c r="AN15" s="460" t="str">
        <f t="shared" si="4"/>
        <v/>
      </c>
      <c r="AO15" s="459" t="str">
        <f>IFERROR(INDEX(Reit!$I:$I,MATCH(AP15,Reit!$F:$F,0)),"")</f>
        <v/>
      </c>
      <c r="AP15" s="460" t="str">
        <f t="shared" si="5"/>
        <v/>
      </c>
    </row>
    <row r="16" spans="1:42" hidden="1" x14ac:dyDescent="0.2">
      <c r="A16" s="550">
        <v>3</v>
      </c>
      <c r="B16" s="576" t="s">
        <v>439</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AD16" s="458">
        <f t="shared" ca="1" si="6"/>
        <v>223</v>
      </c>
      <c r="AE16" s="459">
        <f ca="1">IFERROR(INDEX(Reit!$I:$I,MATCH(AF16,Reit!$F:$F,0)),"")</f>
        <v>159</v>
      </c>
      <c r="AF16" s="460" t="str">
        <f t="shared" si="0"/>
        <v>Elmo Lageda</v>
      </c>
      <c r="AG16" s="459" t="str">
        <f>IFERROR(INDEX(Reit!$I:$I,MATCH(AH16,Reit!$F:$F,0)),"")</f>
        <v/>
      </c>
      <c r="AH16" s="460" t="str">
        <f t="shared" si="1"/>
        <v>Kalle Orro, Sirje Viljaste</v>
      </c>
      <c r="AI16" s="459">
        <f ca="1">IFERROR(INDEX(Reit!$I:$I,MATCH(AJ16,Reit!$F:$F,0)),"")</f>
        <v>20</v>
      </c>
      <c r="AJ16" s="460" t="str">
        <f t="shared" si="2"/>
        <v>Kalle Orro</v>
      </c>
      <c r="AK16" s="459">
        <f ca="1">IFERROR(INDEX(Reit!$I:$I,MATCH(AL16,Reit!$F:$F,0)),"")</f>
        <v>44</v>
      </c>
      <c r="AL16" s="460" t="str">
        <f t="shared" si="3"/>
        <v>Sirje Viljaste</v>
      </c>
      <c r="AM16" s="459" t="str">
        <f>IFERROR(INDEX(Reit!$I:$I,MATCH(AN16,Reit!$F:$F,0)),"")</f>
        <v/>
      </c>
      <c r="AN16" s="460" t="str">
        <f t="shared" si="4"/>
        <v/>
      </c>
      <c r="AO16" s="459" t="str">
        <f>IFERROR(INDEX(Reit!$I:$I,MATCH(AP16,Reit!$F:$F,0)),"")</f>
        <v/>
      </c>
      <c r="AP16" s="460" t="str">
        <f t="shared" si="5"/>
        <v/>
      </c>
    </row>
    <row r="17" spans="1:42" hidden="1" x14ac:dyDescent="0.2">
      <c r="A17" s="550">
        <v>4</v>
      </c>
      <c r="B17" s="581" t="s">
        <v>440</v>
      </c>
      <c r="C17" s="564"/>
      <c r="D17" s="580"/>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0.01</v>
      </c>
      <c r="T17" s="575" t="str">
        <f>Q17&amp;J17</f>
        <v>00</v>
      </c>
      <c r="AD17" s="458">
        <f t="shared" ca="1" si="6"/>
        <v>318</v>
      </c>
      <c r="AE17" s="459">
        <f ca="1">IFERROR(INDEX(Reit!$I:$I,MATCH(AF17,Reit!$F:$F,0)),"")</f>
        <v>92</v>
      </c>
      <c r="AF17" s="460" t="str">
        <f t="shared" si="0"/>
        <v>Lemmit Toomra</v>
      </c>
      <c r="AG17" s="459" t="str">
        <f>IFERROR(INDEX(Reit!$I:$I,MATCH(AH17,Reit!$F:$F,0)),"")</f>
        <v/>
      </c>
      <c r="AH17" s="460" t="str">
        <f t="shared" si="1"/>
        <v>Tõnu Kapper, Vladimir Ogneštšikov</v>
      </c>
      <c r="AI17" s="459">
        <f ca="1">IFERROR(INDEX(Reit!$I:$I,MATCH(AJ17,Reit!$F:$F,0)),"")</f>
        <v>132</v>
      </c>
      <c r="AJ17" s="460" t="str">
        <f t="shared" si="2"/>
        <v>Tõnu Kapper</v>
      </c>
      <c r="AK17" s="459">
        <f ca="1">IFERROR(INDEX(Reit!$I:$I,MATCH(AL17,Reit!$F:$F,0)),"")</f>
        <v>94</v>
      </c>
      <c r="AL17" s="460" t="str">
        <f t="shared" si="3"/>
        <v>Vladimir Ogneštšikov</v>
      </c>
      <c r="AM17" s="459" t="str">
        <f>IFERROR(INDEX(Reit!$I:$I,MATCH(AN17,Reit!$F:$F,0)),"")</f>
        <v/>
      </c>
      <c r="AN17" s="460" t="str">
        <f t="shared" si="4"/>
        <v/>
      </c>
      <c r="AO17" s="459" t="str">
        <f>IFERROR(INDEX(Reit!$I:$I,MATCH(AP17,Reit!$F:$F,0)),"")</f>
        <v/>
      </c>
      <c r="AP17" s="460" t="str">
        <f t="shared" si="5"/>
        <v/>
      </c>
    </row>
    <row r="18" spans="1:42" hidden="1" x14ac:dyDescent="0.2">
      <c r="A18" s="550"/>
      <c r="B18" s="581"/>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AD18" s="458">
        <f t="shared" si="6"/>
        <v>0</v>
      </c>
      <c r="AE18" s="459" t="str">
        <f>IFERROR(INDEX(Reit!$I:$I,MATCH(AF18,Reit!$F:$F,0)),"")</f>
        <v/>
      </c>
      <c r="AF18" s="460" t="str">
        <f t="shared" si="0"/>
        <v/>
      </c>
      <c r="AG18" s="459" t="str">
        <f>IFERROR(INDEX(Reit!$I:$I,MATCH(AH18,Reit!$F:$F,0)),"")</f>
        <v/>
      </c>
      <c r="AH18" s="460" t="str">
        <f t="shared" si="1"/>
        <v/>
      </c>
      <c r="AI18" s="459" t="str">
        <f>IFERROR(INDEX(Reit!$I:$I,MATCH(AJ18,Reit!$F:$F,0)),"")</f>
        <v/>
      </c>
      <c r="AJ18" s="460" t="str">
        <f t="shared" si="2"/>
        <v/>
      </c>
      <c r="AK18" s="459" t="str">
        <f>IFERROR(INDEX(Reit!$I:$I,MATCH(AL18,Reit!$F:$F,0)),"")</f>
        <v/>
      </c>
      <c r="AL18" s="460" t="str">
        <f t="shared" si="3"/>
        <v/>
      </c>
      <c r="AM18" s="459" t="str">
        <f>IFERROR(INDEX(Reit!$I:$I,MATCH(AN18,Reit!$F:$F,0)),"")</f>
        <v/>
      </c>
      <c r="AN18" s="460" t="str">
        <f t="shared" si="4"/>
        <v/>
      </c>
      <c r="AO18" s="459" t="str">
        <f>IFERROR(INDEX(Reit!$I:$I,MATCH(AP18,Reit!$F:$F,0)),"")</f>
        <v/>
      </c>
      <c r="AP18" s="460" t="str">
        <f t="shared" si="5"/>
        <v/>
      </c>
    </row>
    <row r="19" spans="1:42" hidden="1" x14ac:dyDescent="0.2">
      <c r="AD19" s="458">
        <f t="shared" si="6"/>
        <v>0</v>
      </c>
      <c r="AE19" s="459" t="str">
        <f>IFERROR(INDEX(Reit!$I:$I,MATCH(AF19,Reit!$F:$F,0)),"")</f>
        <v/>
      </c>
      <c r="AF19" s="460" t="str">
        <f t="shared" si="0"/>
        <v/>
      </c>
      <c r="AG19" s="459" t="str">
        <f>IFERROR(INDEX(Reit!$I:$I,MATCH(AH19,Reit!$F:$F,0)),"")</f>
        <v/>
      </c>
      <c r="AH19" s="460" t="str">
        <f t="shared" si="1"/>
        <v/>
      </c>
      <c r="AI19" s="459" t="str">
        <f>IFERROR(INDEX(Reit!$I:$I,MATCH(AJ19,Reit!$F:$F,0)),"")</f>
        <v/>
      </c>
      <c r="AJ19" s="460" t="str">
        <f t="shared" si="2"/>
        <v/>
      </c>
      <c r="AK19" s="459" t="str">
        <f>IFERROR(INDEX(Reit!$I:$I,MATCH(AL19,Reit!$F:$F,0)),"")</f>
        <v/>
      </c>
      <c r="AL19" s="460" t="str">
        <f t="shared" si="3"/>
        <v/>
      </c>
      <c r="AM19" s="459" t="str">
        <f>IFERROR(INDEX(Reit!$I:$I,MATCH(AN19,Reit!$F:$F,0)),"")</f>
        <v/>
      </c>
      <c r="AN19" s="460" t="str">
        <f t="shared" si="4"/>
        <v/>
      </c>
      <c r="AO19" s="459" t="str">
        <f>IFERROR(INDEX(Reit!$I:$I,MATCH(AP19,Reit!$F:$F,0)),"")</f>
        <v/>
      </c>
      <c r="AP19" s="460" t="str">
        <f t="shared" si="5"/>
        <v/>
      </c>
    </row>
    <row r="20" spans="1:42" hidden="1" x14ac:dyDescent="0.2">
      <c r="B20" s="599" t="s">
        <v>238</v>
      </c>
      <c r="C20" s="600" t="s">
        <v>303</v>
      </c>
      <c r="D20" s="601"/>
      <c r="E20" s="597"/>
      <c r="G20" s="597"/>
      <c r="AD20" s="458">
        <f t="shared" si="6"/>
        <v>0</v>
      </c>
      <c r="AE20" s="459" t="str">
        <f>IFERROR(INDEX(Reit!$I:$I,MATCH(AF20,Reit!$F:$F,0)),"")</f>
        <v/>
      </c>
      <c r="AF20" s="460" t="str">
        <f t="shared" si="0"/>
        <v/>
      </c>
      <c r="AG20" s="459" t="str">
        <f>IFERROR(INDEX(Reit!$I:$I,MATCH(AH20,Reit!$F:$F,0)),"")</f>
        <v/>
      </c>
      <c r="AH20" s="460" t="str">
        <f t="shared" si="1"/>
        <v/>
      </c>
      <c r="AI20" s="459" t="str">
        <f>IFERROR(INDEX(Reit!$I:$I,MATCH(AJ20,Reit!$F:$F,0)),"")</f>
        <v/>
      </c>
      <c r="AJ20" s="460" t="str">
        <f t="shared" si="2"/>
        <v/>
      </c>
      <c r="AK20" s="459" t="str">
        <f>IFERROR(INDEX(Reit!$I:$I,MATCH(AL20,Reit!$F:$F,0)),"")</f>
        <v/>
      </c>
      <c r="AL20" s="460" t="str">
        <f t="shared" si="3"/>
        <v/>
      </c>
      <c r="AM20" s="459" t="str">
        <f>IFERROR(INDEX(Reit!$I:$I,MATCH(AN20,Reit!$F:$F,0)),"")</f>
        <v/>
      </c>
      <c r="AN20" s="460" t="str">
        <f t="shared" si="4"/>
        <v/>
      </c>
      <c r="AO20" s="459" t="str">
        <f>IFERROR(INDEX(Reit!$I:$I,MATCH(AP20,Reit!$F:$F,0)),"")</f>
        <v/>
      </c>
      <c r="AP20" s="460" t="str">
        <f t="shared" si="5"/>
        <v/>
      </c>
    </row>
    <row r="21" spans="1:42" hidden="1" x14ac:dyDescent="0.2">
      <c r="B21" s="599" t="s">
        <v>239</v>
      </c>
      <c r="C21" s="600" t="s">
        <v>305</v>
      </c>
      <c r="D21" s="597"/>
      <c r="E21" s="597"/>
      <c r="G21" s="597"/>
      <c r="AD21" s="458">
        <f t="shared" si="6"/>
        <v>0</v>
      </c>
      <c r="AE21" s="459" t="str">
        <f>IFERROR(INDEX(Reit!$I:$I,MATCH(AF21,Reit!$F:$F,0)),"")</f>
        <v/>
      </c>
      <c r="AF21" s="460" t="str">
        <f t="shared" si="0"/>
        <v/>
      </c>
      <c r="AG21" s="459" t="str">
        <f>IFERROR(INDEX(Reit!$I:$I,MATCH(AH21,Reit!$F:$F,0)),"")</f>
        <v/>
      </c>
      <c r="AH21" s="460" t="str">
        <f t="shared" si="1"/>
        <v/>
      </c>
      <c r="AI21" s="459" t="str">
        <f>IFERROR(INDEX(Reit!$I:$I,MATCH(AJ21,Reit!$F:$F,0)),"")</f>
        <v/>
      </c>
      <c r="AJ21" s="460" t="str">
        <f t="shared" si="2"/>
        <v/>
      </c>
      <c r="AK21" s="459" t="str">
        <f>IFERROR(INDEX(Reit!$I:$I,MATCH(AL21,Reit!$F:$F,0)),"")</f>
        <v/>
      </c>
      <c r="AL21" s="460" t="str">
        <f t="shared" si="3"/>
        <v/>
      </c>
      <c r="AM21" s="459" t="str">
        <f>IFERROR(INDEX(Reit!$I:$I,MATCH(AN21,Reit!$F:$F,0)),"")</f>
        <v/>
      </c>
      <c r="AN21" s="460" t="str">
        <f t="shared" si="4"/>
        <v/>
      </c>
      <c r="AO21" s="459" t="str">
        <f>IFERROR(INDEX(Reit!$I:$I,MATCH(AP21,Reit!$F:$F,0)),"")</f>
        <v/>
      </c>
      <c r="AP21" s="460" t="str">
        <f t="shared" si="5"/>
        <v/>
      </c>
    </row>
    <row r="22" spans="1:42" hidden="1" x14ac:dyDescent="0.2">
      <c r="B22" s="599" t="s">
        <v>240</v>
      </c>
      <c r="C22" s="600" t="s">
        <v>302</v>
      </c>
      <c r="D22" s="597"/>
      <c r="E22" s="597"/>
      <c r="G22" s="597"/>
      <c r="AD22" s="458">
        <f t="shared" si="6"/>
        <v>0</v>
      </c>
      <c r="AE22" s="459" t="str">
        <f>IFERROR(INDEX(Reit!$I:$I,MATCH(AF22,Reit!$F:$F,0)),"")</f>
        <v/>
      </c>
      <c r="AF22" s="460" t="str">
        <f t="shared" si="0"/>
        <v/>
      </c>
      <c r="AG22" s="459" t="str">
        <f>IFERROR(INDEX(Reit!$I:$I,MATCH(AH22,Reit!$F:$F,0)),"")</f>
        <v/>
      </c>
      <c r="AH22" s="460" t="str">
        <f t="shared" si="1"/>
        <v/>
      </c>
      <c r="AI22" s="459" t="str">
        <f>IFERROR(INDEX(Reit!$I:$I,MATCH(AJ22,Reit!$F:$F,0)),"")</f>
        <v/>
      </c>
      <c r="AJ22" s="460" t="str">
        <f t="shared" si="2"/>
        <v/>
      </c>
      <c r="AK22" s="459" t="str">
        <f>IFERROR(INDEX(Reit!$I:$I,MATCH(AL22,Reit!$F:$F,0)),"")</f>
        <v/>
      </c>
      <c r="AL22" s="460" t="str">
        <f t="shared" si="3"/>
        <v/>
      </c>
      <c r="AM22" s="459" t="str">
        <f>IFERROR(INDEX(Reit!$I:$I,MATCH(AN22,Reit!$F:$F,0)),"")</f>
        <v/>
      </c>
      <c r="AN22" s="460" t="str">
        <f t="shared" si="4"/>
        <v/>
      </c>
      <c r="AO22" s="459" t="str">
        <f>IFERROR(INDEX(Reit!$I:$I,MATCH(AP22,Reit!$F:$F,0)),"")</f>
        <v/>
      </c>
      <c r="AP22" s="460" t="str">
        <f t="shared" si="5"/>
        <v/>
      </c>
    </row>
    <row r="23" spans="1:42" hidden="1" x14ac:dyDescent="0.2">
      <c r="B23" s="597"/>
      <c r="C23" s="597"/>
      <c r="D23" s="597"/>
      <c r="E23" s="597"/>
      <c r="F23" s="597"/>
      <c r="G23" s="597"/>
    </row>
    <row r="24" spans="1:42" hidden="1" x14ac:dyDescent="0.2">
      <c r="B24" s="599" t="s">
        <v>238</v>
      </c>
      <c r="C24" s="600" t="s">
        <v>301</v>
      </c>
      <c r="D24" s="600" t="s">
        <v>302</v>
      </c>
      <c r="E24" s="597"/>
      <c r="F24" s="597"/>
      <c r="G24" s="597"/>
    </row>
    <row r="25" spans="1:42" hidden="1" x14ac:dyDescent="0.2">
      <c r="B25" s="599" t="s">
        <v>239</v>
      </c>
      <c r="C25" s="600" t="s">
        <v>303</v>
      </c>
      <c r="D25" s="600" t="s">
        <v>300</v>
      </c>
      <c r="E25" s="597"/>
      <c r="F25" s="597"/>
      <c r="G25" s="597"/>
    </row>
    <row r="26" spans="1:42" hidden="1" x14ac:dyDescent="0.2">
      <c r="A26" s="399"/>
      <c r="B26" s="895" t="s">
        <v>240</v>
      </c>
      <c r="C26" s="896" t="s">
        <v>305</v>
      </c>
      <c r="D26" s="896" t="s">
        <v>298</v>
      </c>
      <c r="E26" s="897"/>
      <c r="F26" s="897"/>
      <c r="G26" s="897"/>
    </row>
    <row r="27" spans="1:42" hidden="1" x14ac:dyDescent="0.2">
      <c r="A27" s="399"/>
      <c r="B27" s="898"/>
      <c r="C27" s="899"/>
      <c r="D27" s="899"/>
      <c r="E27" s="897"/>
      <c r="F27" s="897"/>
      <c r="G27" s="897"/>
      <c r="AD27" s="458">
        <f t="shared" si="6"/>
        <v>0</v>
      </c>
      <c r="AE27" s="459" t="str">
        <f>IFERROR(INDEX(Reit!$I:$I,MATCH(AF27,Reit!$F:$F,0)),"")</f>
        <v/>
      </c>
      <c r="AF27" s="460" t="str">
        <f t="shared" si="0"/>
        <v/>
      </c>
      <c r="AG27" s="459" t="str">
        <f>IFERROR(INDEX(Reit!$I:$I,MATCH(AH27,Reit!$F:$F,0)),"")</f>
        <v/>
      </c>
      <c r="AH27" s="460" t="str">
        <f t="shared" si="1"/>
        <v/>
      </c>
      <c r="AI27" s="459" t="str">
        <f>IFERROR(INDEX(Reit!$I:$I,MATCH(AJ27,Reit!$F:$F,0)),"")</f>
        <v/>
      </c>
      <c r="AJ27" s="460" t="str">
        <f t="shared" si="2"/>
        <v/>
      </c>
      <c r="AK27" s="459" t="str">
        <f>IFERROR(INDEX(Reit!$I:$I,MATCH(AL27,Reit!$F:$F,0)),"")</f>
        <v/>
      </c>
      <c r="AL27" s="460" t="str">
        <f t="shared" si="3"/>
        <v/>
      </c>
      <c r="AM27" s="459" t="str">
        <f>IFERROR(INDEX(Reit!$I:$I,MATCH(AN27,Reit!$F:$F,0)),"")</f>
        <v/>
      </c>
      <c r="AN27" s="460" t="str">
        <f t="shared" si="4"/>
        <v/>
      </c>
      <c r="AO27" s="459" t="str">
        <f>IFERROR(INDEX(Reit!$I:$I,MATCH(AP27,Reit!$F:$F,0)),"")</f>
        <v/>
      </c>
      <c r="AP27" s="460" t="str">
        <f t="shared" si="5"/>
        <v/>
      </c>
    </row>
    <row r="28" spans="1:42" hidden="1" x14ac:dyDescent="0.2">
      <c r="A28" s="399"/>
      <c r="B28" s="895" t="s">
        <v>238</v>
      </c>
      <c r="C28" s="896" t="s">
        <v>299</v>
      </c>
      <c r="D28" s="896" t="s">
        <v>300</v>
      </c>
      <c r="E28" s="897"/>
      <c r="F28" s="399"/>
      <c r="G28" s="399"/>
      <c r="AD28" s="458">
        <f t="shared" si="6"/>
        <v>0</v>
      </c>
      <c r="AE28" s="459" t="str">
        <f>IFERROR(INDEX(Reit!$I:$I,MATCH(AF28,Reit!$F:$F,0)),"")</f>
        <v/>
      </c>
      <c r="AF28" s="460" t="str">
        <f t="shared" si="0"/>
        <v/>
      </c>
      <c r="AG28" s="459" t="str">
        <f>IFERROR(INDEX(Reit!$I:$I,MATCH(AH28,Reit!$F:$F,0)),"")</f>
        <v/>
      </c>
      <c r="AH28" s="460" t="str">
        <f t="shared" si="1"/>
        <v/>
      </c>
      <c r="AI28" s="459" t="str">
        <f>IFERROR(INDEX(Reit!$I:$I,MATCH(AJ28,Reit!$F:$F,0)),"")</f>
        <v/>
      </c>
      <c r="AJ28" s="460" t="str">
        <f t="shared" si="2"/>
        <v/>
      </c>
      <c r="AK28" s="459" t="str">
        <f>IFERROR(INDEX(Reit!$I:$I,MATCH(AL28,Reit!$F:$F,0)),"")</f>
        <v/>
      </c>
      <c r="AL28" s="460" t="str">
        <f t="shared" si="3"/>
        <v/>
      </c>
      <c r="AM28" s="459" t="str">
        <f>IFERROR(INDEX(Reit!$I:$I,MATCH(AN28,Reit!$F:$F,0)),"")</f>
        <v/>
      </c>
      <c r="AN28" s="460" t="str">
        <f t="shared" si="4"/>
        <v/>
      </c>
      <c r="AO28" s="459" t="str">
        <f>IFERROR(INDEX(Reit!$I:$I,MATCH(AP28,Reit!$F:$F,0)),"")</f>
        <v/>
      </c>
      <c r="AP28" s="460" t="str">
        <f t="shared" si="5"/>
        <v/>
      </c>
    </row>
    <row r="29" spans="1:42" hidden="1" x14ac:dyDescent="0.2">
      <c r="A29" s="399"/>
      <c r="B29" s="895" t="s">
        <v>239</v>
      </c>
      <c r="C29" s="896" t="s">
        <v>301</v>
      </c>
      <c r="D29" s="896" t="s">
        <v>302</v>
      </c>
      <c r="E29" s="897"/>
      <c r="F29" s="399"/>
      <c r="G29" s="399"/>
      <c r="AD29" s="458">
        <f t="shared" si="6"/>
        <v>0</v>
      </c>
      <c r="AE29" s="459" t="str">
        <f>IFERROR(INDEX(Reit!$I:$I,MATCH(AF29,Reit!$F:$F,0)),"")</f>
        <v/>
      </c>
      <c r="AF29" s="460" t="str">
        <f t="shared" si="0"/>
        <v/>
      </c>
      <c r="AG29" s="459" t="str">
        <f>IFERROR(INDEX(Reit!$I:$I,MATCH(AH29,Reit!$F:$F,0)),"")</f>
        <v/>
      </c>
      <c r="AH29" s="460" t="str">
        <f t="shared" si="1"/>
        <v/>
      </c>
      <c r="AI29" s="459" t="str">
        <f>IFERROR(INDEX(Reit!$I:$I,MATCH(AJ29,Reit!$F:$F,0)),"")</f>
        <v/>
      </c>
      <c r="AJ29" s="460" t="str">
        <f t="shared" si="2"/>
        <v/>
      </c>
      <c r="AK29" s="459" t="str">
        <f>IFERROR(INDEX(Reit!$I:$I,MATCH(AL29,Reit!$F:$F,0)),"")</f>
        <v/>
      </c>
      <c r="AL29" s="460" t="str">
        <f t="shared" si="3"/>
        <v/>
      </c>
      <c r="AM29" s="459" t="str">
        <f>IFERROR(INDEX(Reit!$I:$I,MATCH(AN29,Reit!$F:$F,0)),"")</f>
        <v/>
      </c>
      <c r="AN29" s="460" t="str">
        <f t="shared" si="4"/>
        <v/>
      </c>
      <c r="AO29" s="459" t="str">
        <f>IFERROR(INDEX(Reit!$I:$I,MATCH(AP29,Reit!$F:$F,0)),"")</f>
        <v/>
      </c>
      <c r="AP29" s="460" t="str">
        <f t="shared" si="5"/>
        <v/>
      </c>
    </row>
    <row r="30" spans="1:42" hidden="1" x14ac:dyDescent="0.2">
      <c r="A30" s="399"/>
      <c r="B30" s="895" t="s">
        <v>240</v>
      </c>
      <c r="C30" s="896" t="s">
        <v>303</v>
      </c>
      <c r="D30" s="896" t="s">
        <v>304</v>
      </c>
      <c r="E30" s="897"/>
      <c r="F30" s="399"/>
      <c r="G30" s="399"/>
      <c r="AD30" s="458">
        <f t="shared" si="6"/>
        <v>0</v>
      </c>
      <c r="AE30" s="459" t="str">
        <f>IFERROR(INDEX(Reit!$I:$I,MATCH(AF30,Reit!$F:$F,0)),"")</f>
        <v/>
      </c>
      <c r="AF30" s="460" t="str">
        <f t="shared" si="0"/>
        <v/>
      </c>
      <c r="AG30" s="459" t="str">
        <f>IFERROR(INDEX(Reit!$I:$I,MATCH(AH30,Reit!$F:$F,0)),"")</f>
        <v/>
      </c>
      <c r="AH30" s="460" t="str">
        <f t="shared" si="1"/>
        <v/>
      </c>
      <c r="AI30" s="459" t="str">
        <f>IFERROR(INDEX(Reit!$I:$I,MATCH(AJ30,Reit!$F:$F,0)),"")</f>
        <v/>
      </c>
      <c r="AJ30" s="460" t="str">
        <f t="shared" si="2"/>
        <v/>
      </c>
      <c r="AK30" s="459" t="str">
        <f>IFERROR(INDEX(Reit!$I:$I,MATCH(AL30,Reit!$F:$F,0)),"")</f>
        <v/>
      </c>
      <c r="AL30" s="460" t="str">
        <f t="shared" si="3"/>
        <v/>
      </c>
      <c r="AM30" s="459" t="str">
        <f>IFERROR(INDEX(Reit!$I:$I,MATCH(AN30,Reit!$F:$F,0)),"")</f>
        <v/>
      </c>
      <c r="AN30" s="460" t="str">
        <f t="shared" si="4"/>
        <v/>
      </c>
      <c r="AO30" s="459" t="str">
        <f>IFERROR(INDEX(Reit!$I:$I,MATCH(AP30,Reit!$F:$F,0)),"")</f>
        <v/>
      </c>
      <c r="AP30" s="460" t="str">
        <f t="shared" si="5"/>
        <v/>
      </c>
    </row>
    <row r="31" spans="1:42" hidden="1" x14ac:dyDescent="0.2">
      <c r="A31" s="399"/>
      <c r="B31" s="895" t="s">
        <v>241</v>
      </c>
      <c r="C31" s="900" t="s">
        <v>305</v>
      </c>
      <c r="D31" s="896" t="s">
        <v>306</v>
      </c>
      <c r="E31" s="897"/>
      <c r="F31" s="399"/>
      <c r="G31" s="399"/>
      <c r="AD31" s="458">
        <f t="shared" si="6"/>
        <v>0</v>
      </c>
      <c r="AE31" s="459" t="str">
        <f>IFERROR(INDEX(Reit!$I:$I,MATCH(AF31,Reit!$F:$F,0)),"")</f>
        <v/>
      </c>
      <c r="AF31" s="460" t="str">
        <f t="shared" si="0"/>
        <v/>
      </c>
      <c r="AG31" s="459" t="str">
        <f>IFERROR(INDEX(Reit!$I:$I,MATCH(AH31,Reit!$F:$F,0)),"")</f>
        <v/>
      </c>
      <c r="AH31" s="460" t="str">
        <f t="shared" si="1"/>
        <v/>
      </c>
      <c r="AI31" s="459" t="str">
        <f>IFERROR(INDEX(Reit!$I:$I,MATCH(AJ31,Reit!$F:$F,0)),"")</f>
        <v/>
      </c>
      <c r="AJ31" s="460" t="str">
        <f t="shared" si="2"/>
        <v/>
      </c>
      <c r="AK31" s="459" t="str">
        <f>IFERROR(INDEX(Reit!$I:$I,MATCH(AL31,Reit!$F:$F,0)),"")</f>
        <v/>
      </c>
      <c r="AL31" s="460" t="str">
        <f t="shared" si="3"/>
        <v/>
      </c>
      <c r="AM31" s="459" t="str">
        <f>IFERROR(INDEX(Reit!$I:$I,MATCH(AN31,Reit!$F:$F,0)),"")</f>
        <v/>
      </c>
      <c r="AN31" s="460" t="str">
        <f t="shared" si="4"/>
        <v/>
      </c>
      <c r="AO31" s="459" t="str">
        <f>IFERROR(INDEX(Reit!$I:$I,MATCH(AP31,Reit!$F:$F,0)),"")</f>
        <v/>
      </c>
      <c r="AP31" s="460" t="str">
        <f t="shared" si="5"/>
        <v/>
      </c>
    </row>
    <row r="32" spans="1:42" hidden="1" x14ac:dyDescent="0.2">
      <c r="A32" s="399"/>
      <c r="B32" s="895" t="s">
        <v>242</v>
      </c>
      <c r="C32" s="896" t="s">
        <v>297</v>
      </c>
      <c r="D32" s="896" t="s">
        <v>298</v>
      </c>
      <c r="E32" s="897"/>
      <c r="F32" s="399"/>
      <c r="G32" s="399"/>
    </row>
    <row r="33" spans="1:7" hidden="1" x14ac:dyDescent="0.2">
      <c r="A33" s="399"/>
      <c r="B33" s="399"/>
      <c r="C33" s="399"/>
      <c r="D33" s="399"/>
      <c r="E33" s="399"/>
      <c r="F33" s="399"/>
      <c r="G33" s="399"/>
    </row>
    <row r="34" spans="1:7" hidden="1" x14ac:dyDescent="0.2">
      <c r="A34" s="399"/>
      <c r="B34" s="399"/>
      <c r="C34" s="399"/>
      <c r="D34" s="399"/>
      <c r="E34" s="399"/>
      <c r="F34" s="399"/>
      <c r="G34" s="399"/>
    </row>
    <row r="35" spans="1:7" hidden="1" x14ac:dyDescent="0.2">
      <c r="A35" s="399"/>
      <c r="B35" s="399"/>
      <c r="C35" s="399"/>
      <c r="D35" s="399"/>
      <c r="E35" s="399"/>
      <c r="F35" s="399"/>
      <c r="G35" s="399"/>
    </row>
    <row r="36" spans="1:7" hidden="1" x14ac:dyDescent="0.2">
      <c r="A36" s="399"/>
      <c r="B36" s="399"/>
      <c r="C36" s="399"/>
      <c r="D36" s="399"/>
      <c r="E36" s="399"/>
      <c r="F36" s="399"/>
      <c r="G36" s="399"/>
    </row>
    <row r="37" spans="1:7" hidden="1" x14ac:dyDescent="0.2">
      <c r="A37" s="399"/>
      <c r="B37" s="399"/>
      <c r="C37" s="399"/>
      <c r="D37" s="399"/>
      <c r="E37" s="399"/>
      <c r="F37" s="399"/>
      <c r="G37" s="399"/>
    </row>
    <row r="38" spans="1:7" hidden="1" x14ac:dyDescent="0.2">
      <c r="A38" s="399"/>
      <c r="B38" s="399"/>
      <c r="C38" s="399"/>
      <c r="D38" s="399"/>
      <c r="E38" s="399"/>
      <c r="F38" s="399"/>
      <c r="G38" s="399"/>
    </row>
    <row r="39" spans="1:7" hidden="1" x14ac:dyDescent="0.2">
      <c r="A39" s="399"/>
      <c r="B39" s="399"/>
      <c r="C39" s="399"/>
      <c r="D39" s="399"/>
      <c r="E39" s="399"/>
      <c r="F39" s="399"/>
      <c r="G39" s="399"/>
    </row>
    <row r="40" spans="1:7" hidden="1" x14ac:dyDescent="0.2">
      <c r="A40" s="399"/>
      <c r="B40" s="399"/>
      <c r="C40" s="399"/>
      <c r="D40" s="399"/>
      <c r="E40" s="399"/>
      <c r="F40" s="399"/>
      <c r="G40" s="399"/>
    </row>
    <row r="41" spans="1:7" hidden="1" x14ac:dyDescent="0.2">
      <c r="A41" s="399"/>
      <c r="B41" s="399"/>
      <c r="C41" s="399"/>
      <c r="D41" s="399"/>
      <c r="E41" s="399"/>
      <c r="F41" s="399"/>
      <c r="G41" s="399"/>
    </row>
    <row r="42" spans="1:7" hidden="1" x14ac:dyDescent="0.2">
      <c r="A42" s="399"/>
      <c r="B42" s="399"/>
      <c r="C42" s="399"/>
      <c r="D42" s="399"/>
      <c r="E42" s="399"/>
      <c r="F42" s="399"/>
      <c r="G42" s="399"/>
    </row>
    <row r="43" spans="1:7" hidden="1" x14ac:dyDescent="0.2">
      <c r="A43" s="399"/>
      <c r="B43" s="399"/>
      <c r="C43" s="399"/>
      <c r="D43" s="399"/>
      <c r="E43" s="399"/>
      <c r="F43" s="399"/>
      <c r="G43" s="399"/>
    </row>
    <row r="44" spans="1:7" hidden="1" x14ac:dyDescent="0.2">
      <c r="A44" s="399"/>
      <c r="B44" s="399"/>
      <c r="C44" s="399"/>
      <c r="D44" s="399"/>
      <c r="E44" s="399"/>
      <c r="F44" s="399"/>
      <c r="G44" s="399"/>
    </row>
    <row r="45" spans="1:7" hidden="1" x14ac:dyDescent="0.2">
      <c r="A45" s="399"/>
      <c r="B45" s="399"/>
      <c r="C45" s="399"/>
      <c r="D45" s="399"/>
      <c r="E45" s="399"/>
      <c r="F45" s="399"/>
      <c r="G45" s="399"/>
    </row>
    <row r="46" spans="1:7" hidden="1" x14ac:dyDescent="0.2">
      <c r="A46" s="399"/>
      <c r="B46" s="399"/>
      <c r="C46" s="399"/>
      <c r="D46" s="399"/>
      <c r="E46" s="399"/>
      <c r="F46" s="399"/>
      <c r="G46" s="399"/>
    </row>
    <row r="47" spans="1:7" hidden="1" x14ac:dyDescent="0.2">
      <c r="A47" s="399"/>
      <c r="B47" s="399"/>
      <c r="C47" s="399"/>
      <c r="D47" s="399"/>
      <c r="E47" s="399"/>
      <c r="F47" s="399"/>
      <c r="G47" s="399"/>
    </row>
    <row r="48" spans="1:7" hidden="1" x14ac:dyDescent="0.2">
      <c r="A48" s="399"/>
      <c r="B48" s="399"/>
      <c r="C48" s="399"/>
      <c r="D48" s="399"/>
      <c r="E48" s="399"/>
      <c r="F48" s="399"/>
      <c r="G48" s="399"/>
    </row>
    <row r="49" spans="1:7" hidden="1" x14ac:dyDescent="0.2">
      <c r="A49" s="399"/>
      <c r="B49" s="399"/>
      <c r="C49" s="399"/>
      <c r="D49" s="399"/>
      <c r="E49" s="399"/>
      <c r="F49" s="399"/>
      <c r="G49" s="399"/>
    </row>
    <row r="50" spans="1:7" hidden="1" x14ac:dyDescent="0.2">
      <c r="A50" s="399"/>
      <c r="B50" s="399"/>
      <c r="C50" s="399"/>
      <c r="D50" s="399"/>
      <c r="E50" s="399"/>
      <c r="F50" s="399"/>
      <c r="G50" s="399"/>
    </row>
    <row r="51" spans="1:7" hidden="1" x14ac:dyDescent="0.2">
      <c r="A51" s="399"/>
      <c r="B51" s="399"/>
      <c r="C51" s="399"/>
      <c r="D51" s="399"/>
      <c r="E51" s="399"/>
      <c r="F51" s="399"/>
      <c r="G51" s="399"/>
    </row>
    <row r="52" spans="1:7" hidden="1" x14ac:dyDescent="0.2">
      <c r="A52" s="399"/>
      <c r="B52" s="399"/>
      <c r="C52" s="399"/>
      <c r="D52" s="399"/>
      <c r="E52" s="399"/>
      <c r="F52" s="399"/>
      <c r="G52" s="399"/>
    </row>
    <row r="53" spans="1:7" hidden="1" x14ac:dyDescent="0.2">
      <c r="A53" s="399"/>
      <c r="B53" s="399"/>
      <c r="C53" s="399"/>
      <c r="D53" s="399"/>
      <c r="E53" s="399"/>
      <c r="F53" s="399"/>
      <c r="G53" s="399"/>
    </row>
    <row r="54" spans="1:7" hidden="1" x14ac:dyDescent="0.2">
      <c r="A54" s="399"/>
      <c r="B54" s="399"/>
      <c r="C54" s="399"/>
      <c r="D54" s="399"/>
      <c r="E54" s="399"/>
      <c r="F54" s="399"/>
      <c r="G54" s="399"/>
    </row>
    <row r="55" spans="1:7" hidden="1" x14ac:dyDescent="0.2">
      <c r="A55" s="399"/>
      <c r="B55" s="399"/>
      <c r="C55" s="399"/>
      <c r="D55" s="399"/>
      <c r="E55" s="399"/>
      <c r="F55" s="399"/>
      <c r="G55" s="399"/>
    </row>
    <row r="56" spans="1:7" hidden="1" x14ac:dyDescent="0.2">
      <c r="A56" s="399"/>
      <c r="B56" s="399"/>
      <c r="C56" s="399"/>
      <c r="D56" s="399"/>
      <c r="E56" s="399"/>
      <c r="F56" s="399"/>
      <c r="G56" s="399"/>
    </row>
    <row r="57" spans="1:7" hidden="1" x14ac:dyDescent="0.2">
      <c r="A57" s="399"/>
      <c r="B57" s="399"/>
      <c r="C57" s="399"/>
      <c r="D57" s="399"/>
      <c r="E57" s="399"/>
      <c r="F57" s="399"/>
      <c r="G57" s="399"/>
    </row>
    <row r="58" spans="1:7" hidden="1" x14ac:dyDescent="0.2">
      <c r="A58" s="399"/>
      <c r="B58" s="399"/>
      <c r="C58" s="399"/>
      <c r="D58" s="399"/>
      <c r="E58" s="399"/>
      <c r="F58" s="399"/>
      <c r="G58" s="399"/>
    </row>
    <row r="59" spans="1:7" hidden="1" x14ac:dyDescent="0.2">
      <c r="A59" s="399"/>
      <c r="B59" s="399"/>
      <c r="C59" s="399"/>
      <c r="D59" s="399"/>
      <c r="E59" s="399"/>
      <c r="F59" s="399"/>
      <c r="G59" s="399"/>
    </row>
    <row r="60" spans="1:7" hidden="1" x14ac:dyDescent="0.2">
      <c r="A60" s="399"/>
      <c r="B60" s="399"/>
      <c r="C60" s="399"/>
      <c r="D60" s="399"/>
      <c r="E60" s="399"/>
      <c r="F60" s="399"/>
      <c r="G60" s="399"/>
    </row>
    <row r="61" spans="1:7" hidden="1" x14ac:dyDescent="0.2">
      <c r="A61" s="399"/>
      <c r="B61" s="399"/>
      <c r="C61" s="399"/>
      <c r="D61" s="399"/>
      <c r="E61" s="399"/>
      <c r="F61" s="399"/>
      <c r="G61" s="399"/>
    </row>
    <row r="62" spans="1:7" hidden="1" x14ac:dyDescent="0.2">
      <c r="A62" s="399"/>
      <c r="B62" s="399"/>
      <c r="C62" s="399"/>
      <c r="D62" s="399"/>
      <c r="E62" s="399"/>
      <c r="F62" s="399"/>
      <c r="G62" s="399"/>
    </row>
    <row r="63" spans="1:7" hidden="1" x14ac:dyDescent="0.2">
      <c r="A63" s="399"/>
      <c r="B63" s="399"/>
      <c r="C63" s="399"/>
      <c r="D63" s="399"/>
      <c r="E63" s="399"/>
      <c r="F63" s="399"/>
      <c r="G63" s="399"/>
    </row>
    <row r="64" spans="1:7" hidden="1" x14ac:dyDescent="0.2">
      <c r="A64" s="399"/>
      <c r="B64" s="399"/>
      <c r="C64" s="399"/>
      <c r="D64" s="399"/>
      <c r="E64" s="399"/>
      <c r="F64" s="399"/>
      <c r="G64" s="399"/>
    </row>
    <row r="65" spans="1:7" hidden="1" x14ac:dyDescent="0.2">
      <c r="A65" s="399"/>
      <c r="B65" s="399"/>
      <c r="C65" s="399"/>
      <c r="D65" s="399"/>
      <c r="E65" s="399"/>
      <c r="F65" s="399"/>
      <c r="G65" s="399"/>
    </row>
    <row r="66" spans="1:7" hidden="1" x14ac:dyDescent="0.2">
      <c r="A66" s="399"/>
      <c r="B66" s="399"/>
      <c r="C66" s="399"/>
      <c r="D66" s="399"/>
      <c r="E66" s="399"/>
      <c r="F66" s="399"/>
      <c r="G66" s="399"/>
    </row>
    <row r="67" spans="1:7" hidden="1" x14ac:dyDescent="0.2">
      <c r="A67" s="399"/>
      <c r="B67" s="399"/>
      <c r="C67" s="399"/>
      <c r="D67" s="399"/>
      <c r="E67" s="399"/>
      <c r="F67" s="399"/>
      <c r="G67" s="399"/>
    </row>
    <row r="68" spans="1:7" hidden="1" x14ac:dyDescent="0.2">
      <c r="A68" s="399"/>
      <c r="B68" s="399"/>
      <c r="C68" s="399"/>
      <c r="D68" s="399"/>
      <c r="E68" s="399"/>
      <c r="F68" s="399"/>
      <c r="G68" s="399"/>
    </row>
    <row r="69" spans="1:7" hidden="1" x14ac:dyDescent="0.2">
      <c r="A69" s="399"/>
      <c r="B69" s="399"/>
      <c r="C69" s="399"/>
      <c r="D69" s="399"/>
      <c r="E69" s="399"/>
      <c r="F69" s="399"/>
      <c r="G69" s="399"/>
    </row>
    <row r="70" spans="1:7" hidden="1" x14ac:dyDescent="0.2">
      <c r="A70" s="399"/>
      <c r="B70" s="399"/>
      <c r="C70" s="399"/>
      <c r="D70" s="399"/>
      <c r="E70" s="399"/>
      <c r="F70" s="399"/>
      <c r="G70" s="399"/>
    </row>
    <row r="71" spans="1:7" hidden="1" x14ac:dyDescent="0.2">
      <c r="A71" s="399"/>
      <c r="B71" s="399"/>
      <c r="C71" s="399"/>
      <c r="D71" s="399"/>
      <c r="E71" s="399"/>
      <c r="F71" s="399"/>
      <c r="G71" s="399"/>
    </row>
    <row r="72" spans="1:7" hidden="1" x14ac:dyDescent="0.2">
      <c r="A72" s="399"/>
      <c r="B72" s="399"/>
      <c r="C72" s="399"/>
      <c r="D72" s="399"/>
      <c r="E72" s="399"/>
      <c r="F72" s="399"/>
      <c r="G72" s="399"/>
    </row>
    <row r="73" spans="1:7" hidden="1" x14ac:dyDescent="0.2">
      <c r="A73" s="399"/>
      <c r="B73" s="399"/>
      <c r="C73" s="399"/>
      <c r="D73" s="399"/>
      <c r="E73" s="399"/>
      <c r="F73" s="399"/>
      <c r="G73" s="399"/>
    </row>
    <row r="74" spans="1:7" hidden="1" x14ac:dyDescent="0.2">
      <c r="A74" s="399"/>
      <c r="B74" s="399"/>
      <c r="C74" s="399"/>
      <c r="D74" s="399"/>
      <c r="E74" s="399"/>
      <c r="F74" s="399"/>
      <c r="G74" s="399"/>
    </row>
    <row r="75" spans="1:7" hidden="1" x14ac:dyDescent="0.2">
      <c r="A75" s="399"/>
      <c r="B75" s="399"/>
      <c r="C75" s="399"/>
      <c r="D75" s="399"/>
      <c r="E75" s="399"/>
      <c r="F75" s="399"/>
      <c r="G75" s="399"/>
    </row>
    <row r="76" spans="1:7" hidden="1" x14ac:dyDescent="0.2">
      <c r="A76" s="399"/>
      <c r="B76" s="399"/>
      <c r="C76" s="399"/>
      <c r="D76" s="399"/>
      <c r="E76" s="399"/>
      <c r="F76" s="399"/>
      <c r="G76" s="399"/>
    </row>
    <row r="77" spans="1:7" hidden="1" x14ac:dyDescent="0.2">
      <c r="A77" s="399"/>
      <c r="B77" s="399"/>
      <c r="C77" s="399"/>
      <c r="D77" s="399"/>
      <c r="E77" s="399"/>
      <c r="F77" s="399"/>
      <c r="G77" s="399"/>
    </row>
    <row r="78" spans="1:7" hidden="1" x14ac:dyDescent="0.2">
      <c r="A78" s="399"/>
      <c r="B78" s="399"/>
      <c r="C78" s="399"/>
      <c r="D78" s="399"/>
      <c r="E78" s="399"/>
      <c r="F78" s="399"/>
      <c r="G78" s="399"/>
    </row>
    <row r="79" spans="1:7" hidden="1" x14ac:dyDescent="0.2">
      <c r="A79" s="399"/>
      <c r="B79" s="399"/>
      <c r="C79" s="399"/>
      <c r="D79" s="399"/>
      <c r="E79" s="399"/>
      <c r="F79" s="399"/>
      <c r="G79" s="399"/>
    </row>
    <row r="80" spans="1:7" hidden="1" x14ac:dyDescent="0.2">
      <c r="A80" s="399"/>
      <c r="B80" s="399"/>
      <c r="C80" s="399"/>
      <c r="D80" s="399"/>
      <c r="E80" s="399"/>
      <c r="F80" s="399"/>
      <c r="G80" s="399"/>
    </row>
    <row r="81" spans="1:7" hidden="1" x14ac:dyDescent="0.2">
      <c r="A81" s="399"/>
      <c r="B81" s="399"/>
      <c r="C81" s="399"/>
      <c r="D81" s="399"/>
      <c r="E81" s="399"/>
      <c r="F81" s="399"/>
      <c r="G81" s="399"/>
    </row>
    <row r="82" spans="1:7" hidden="1" x14ac:dyDescent="0.2">
      <c r="A82" s="399"/>
      <c r="B82" s="399"/>
      <c r="C82" s="399"/>
      <c r="D82" s="399"/>
      <c r="E82" s="399"/>
      <c r="F82" s="399"/>
      <c r="G82" s="399"/>
    </row>
    <row r="83" spans="1:7" hidden="1" x14ac:dyDescent="0.2">
      <c r="A83" s="399"/>
      <c r="B83" s="399"/>
      <c r="C83" s="399"/>
      <c r="D83" s="399"/>
      <c r="E83" s="399"/>
      <c r="F83" s="399"/>
      <c r="G83" s="399"/>
    </row>
    <row r="84" spans="1:7" hidden="1" x14ac:dyDescent="0.2">
      <c r="A84" s="399"/>
      <c r="B84" s="399"/>
      <c r="C84" s="399"/>
      <c r="D84" s="399"/>
      <c r="E84" s="399"/>
      <c r="F84" s="399"/>
      <c r="G84" s="399"/>
    </row>
    <row r="85" spans="1:7" hidden="1" x14ac:dyDescent="0.2">
      <c r="A85" s="399"/>
      <c r="B85" s="399"/>
      <c r="C85" s="399"/>
      <c r="D85" s="399"/>
      <c r="E85" s="399"/>
      <c r="F85" s="399"/>
      <c r="G85" s="399"/>
    </row>
    <row r="86" spans="1:7" hidden="1" x14ac:dyDescent="0.2">
      <c r="A86" s="399"/>
      <c r="B86" s="399"/>
      <c r="C86" s="399"/>
      <c r="D86" s="399"/>
      <c r="E86" s="399"/>
      <c r="F86" s="399"/>
      <c r="G86" s="399"/>
    </row>
    <row r="87" spans="1:7" hidden="1" x14ac:dyDescent="0.2">
      <c r="A87" s="399"/>
      <c r="B87" s="399"/>
      <c r="C87" s="399"/>
      <c r="D87" s="399"/>
      <c r="E87" s="399"/>
      <c r="F87" s="399"/>
      <c r="G87" s="399"/>
    </row>
    <row r="88" spans="1:7" hidden="1" x14ac:dyDescent="0.2">
      <c r="A88" s="399"/>
      <c r="B88" s="399"/>
      <c r="C88" s="399"/>
      <c r="D88" s="399"/>
      <c r="E88" s="399"/>
      <c r="F88" s="399"/>
      <c r="G88" s="399"/>
    </row>
    <row r="89" spans="1:7" hidden="1" x14ac:dyDescent="0.2">
      <c r="A89" s="399"/>
      <c r="B89" s="399"/>
      <c r="C89" s="399"/>
      <c r="D89" s="399"/>
      <c r="E89" s="399"/>
      <c r="F89" s="399"/>
      <c r="G89" s="399"/>
    </row>
    <row r="90" spans="1:7" hidden="1" x14ac:dyDescent="0.2">
      <c r="A90" s="399"/>
      <c r="B90" s="399"/>
      <c r="C90" s="399"/>
      <c r="D90" s="399"/>
      <c r="E90" s="399"/>
      <c r="F90" s="399"/>
      <c r="G90" s="399"/>
    </row>
    <row r="91" spans="1:7" hidden="1" x14ac:dyDescent="0.2">
      <c r="A91" s="399"/>
      <c r="B91" s="399"/>
      <c r="C91" s="399"/>
      <c r="D91" s="399"/>
      <c r="E91" s="399"/>
      <c r="F91" s="399"/>
      <c r="G91" s="399"/>
    </row>
    <row r="92" spans="1:7" hidden="1" x14ac:dyDescent="0.2">
      <c r="A92" s="399"/>
      <c r="B92" s="399"/>
      <c r="C92" s="399"/>
      <c r="D92" s="399"/>
      <c r="E92" s="399"/>
      <c r="F92" s="399"/>
      <c r="G92" s="399"/>
    </row>
    <row r="93" spans="1:7" hidden="1" x14ac:dyDescent="0.2">
      <c r="A93" s="399"/>
      <c r="B93" s="399"/>
      <c r="C93" s="399"/>
      <c r="D93" s="399"/>
      <c r="E93" s="399"/>
      <c r="F93" s="399"/>
      <c r="G93" s="399"/>
    </row>
    <row r="94" spans="1:7" hidden="1" x14ac:dyDescent="0.2">
      <c r="A94" s="399"/>
      <c r="B94" s="399"/>
      <c r="C94" s="399"/>
      <c r="D94" s="399"/>
      <c r="E94" s="399"/>
      <c r="F94" s="399"/>
      <c r="G94" s="399"/>
    </row>
    <row r="95" spans="1:7" hidden="1" x14ac:dyDescent="0.2">
      <c r="A95" s="399"/>
      <c r="B95" s="399"/>
      <c r="C95" s="399"/>
      <c r="D95" s="399"/>
      <c r="E95" s="399"/>
      <c r="F95" s="399"/>
      <c r="G95" s="399"/>
    </row>
    <row r="96" spans="1:7" hidden="1" x14ac:dyDescent="0.2">
      <c r="A96" s="399"/>
      <c r="B96" s="399"/>
      <c r="C96" s="399"/>
      <c r="D96" s="399"/>
      <c r="E96" s="399"/>
      <c r="F96" s="399"/>
      <c r="G96" s="399"/>
    </row>
    <row r="97" spans="1:7" hidden="1" x14ac:dyDescent="0.2">
      <c r="A97" s="399"/>
      <c r="B97" s="399"/>
      <c r="C97" s="399"/>
      <c r="D97" s="399"/>
      <c r="E97" s="399"/>
      <c r="F97" s="399"/>
      <c r="G97" s="399"/>
    </row>
    <row r="98" spans="1:7" hidden="1" x14ac:dyDescent="0.2">
      <c r="A98" s="399"/>
      <c r="B98" s="399"/>
      <c r="C98" s="399"/>
      <c r="D98" s="399"/>
      <c r="E98" s="399"/>
      <c r="F98" s="399"/>
      <c r="G98" s="399"/>
    </row>
    <row r="99" spans="1:7" hidden="1" x14ac:dyDescent="0.2">
      <c r="A99" s="399"/>
      <c r="B99" s="399"/>
      <c r="C99" s="399"/>
      <c r="D99" s="399"/>
      <c r="E99" s="399"/>
      <c r="F99" s="399"/>
      <c r="G99" s="399"/>
    </row>
    <row r="100" spans="1:7" hidden="1" x14ac:dyDescent="0.2">
      <c r="A100" s="901" t="s">
        <v>312</v>
      </c>
      <c r="B100" s="37"/>
      <c r="C100" s="37"/>
      <c r="D100" s="37"/>
      <c r="E100" s="37"/>
      <c r="F100" s="37"/>
      <c r="G100" s="37"/>
    </row>
    <row r="101" spans="1:7" hidden="1" x14ac:dyDescent="0.2">
      <c r="A101" s="37"/>
      <c r="B101" s="37"/>
      <c r="C101" s="37"/>
      <c r="D101" s="37"/>
      <c r="E101" s="37"/>
      <c r="F101" s="37"/>
      <c r="G101" s="37"/>
    </row>
    <row r="102" spans="1:7" hidden="1" x14ac:dyDescent="0.2">
      <c r="A102" s="902" t="s">
        <v>313</v>
      </c>
      <c r="B102" s="903" t="str">
        <f>IF(A102="-","-",IFERROR(INDEX(B$1:B$100,MATCH(A102,I$1:I$100,0)),""))</f>
        <v/>
      </c>
      <c r="C102" s="904">
        <v>13</v>
      </c>
      <c r="D102" s="904"/>
      <c r="E102" s="904"/>
      <c r="F102" s="905"/>
      <c r="G102" s="399"/>
    </row>
    <row r="103" spans="1:7" hidden="1" x14ac:dyDescent="0.2">
      <c r="A103" s="902"/>
      <c r="B103" s="906"/>
      <c r="C103" s="907" t="str">
        <f>IF(COUNT(C102,C104)=2,IF(C102&gt;C104,B102,B104),"")</f>
        <v/>
      </c>
      <c r="D103" s="905"/>
      <c r="E103" s="904">
        <v>13</v>
      </c>
      <c r="F103" s="905"/>
      <c r="G103" s="399"/>
    </row>
    <row r="104" spans="1:7" hidden="1" x14ac:dyDescent="0.2">
      <c r="A104" s="902" t="s">
        <v>314</v>
      </c>
      <c r="B104" s="908" t="str">
        <f>IF(A104="-","-",IFERROR(INDEX(B$1:B$100,MATCH(A104,I$1:I$100,0)),""))</f>
        <v/>
      </c>
      <c r="C104" s="909">
        <v>4</v>
      </c>
      <c r="D104" s="910"/>
      <c r="E104" s="905"/>
      <c r="F104" s="905"/>
      <c r="G104" s="399"/>
    </row>
    <row r="105" spans="1:7" ht="13.5" hidden="1" thickBot="1" x14ac:dyDescent="0.25">
      <c r="A105" s="902"/>
      <c r="B105" s="905"/>
      <c r="C105" s="911"/>
      <c r="D105" s="912"/>
      <c r="E105" s="913"/>
      <c r="F105" s="914" t="str">
        <f>IF(COUNT(E103,E107)=2,IF(E103&gt;E107,C103,C107),"")</f>
        <v/>
      </c>
      <c r="G105" s="399"/>
    </row>
    <row r="106" spans="1:7" hidden="1" x14ac:dyDescent="0.2">
      <c r="A106" s="902" t="s">
        <v>315</v>
      </c>
      <c r="B106" s="903" t="str">
        <f>IF(A106="-","-",IFERROR(INDEX(B$1:B$100,MATCH(A106,I$1:I$100,0)),""))</f>
        <v/>
      </c>
      <c r="C106" s="904">
        <v>13</v>
      </c>
      <c r="D106" s="912"/>
      <c r="E106" s="915"/>
      <c r="F106" s="916" t="s">
        <v>307</v>
      </c>
      <c r="G106" s="917"/>
    </row>
    <row r="107" spans="1:7" hidden="1" x14ac:dyDescent="0.2">
      <c r="A107" s="902"/>
      <c r="B107" s="906"/>
      <c r="C107" s="907" t="str">
        <f>IF(COUNT(C106,C108)=2,IF(C106&gt;C108,B106,B108),"")</f>
        <v/>
      </c>
      <c r="D107" s="918"/>
      <c r="E107" s="909">
        <v>11</v>
      </c>
      <c r="F107" s="919"/>
      <c r="G107" s="920"/>
    </row>
    <row r="108" spans="1:7" ht="13.5" hidden="1" thickBot="1" x14ac:dyDescent="0.25">
      <c r="A108" s="902" t="s">
        <v>316</v>
      </c>
      <c r="B108" s="908" t="str">
        <f>IF(A108="-","-",IFERROR(INDEX(B$1:B$100,MATCH(A108,I$1:I$100,0)),""))</f>
        <v/>
      </c>
      <c r="C108" s="909">
        <v>1</v>
      </c>
      <c r="D108" s="904"/>
      <c r="E108" s="911"/>
      <c r="F108" s="921" t="str">
        <f>IF(COUNT(E103,E107)=2,IF(E103&lt;E107,C103,C107),"")</f>
        <v/>
      </c>
      <c r="G108" s="922"/>
    </row>
    <row r="109" spans="1:7" hidden="1" x14ac:dyDescent="0.2">
      <c r="A109" s="37"/>
      <c r="B109" s="904"/>
      <c r="C109" s="904"/>
      <c r="D109" s="904"/>
      <c r="E109" s="911"/>
      <c r="F109" s="923" t="s">
        <v>308</v>
      </c>
      <c r="G109" s="399"/>
    </row>
    <row r="110" spans="1:7" hidden="1" x14ac:dyDescent="0.2">
      <c r="A110" s="37"/>
      <c r="B110" s="904"/>
      <c r="C110" s="914" t="str">
        <f>IF(COUNT(C102,C104)=2,IF(C102&lt;C104,B102,B104),"")</f>
        <v/>
      </c>
      <c r="D110" s="905"/>
      <c r="E110" s="911">
        <v>13</v>
      </c>
      <c r="F110" s="919"/>
      <c r="G110" s="399"/>
    </row>
    <row r="111" spans="1:7" ht="13.5" hidden="1" thickBot="1" x14ac:dyDescent="0.25">
      <c r="A111" s="37"/>
      <c r="B111" s="904"/>
      <c r="C111" s="906"/>
      <c r="D111" s="924"/>
      <c r="E111" s="925"/>
      <c r="F111" s="914" t="str">
        <f>IF(COUNT(E110,E112)=2,IF(E110&gt;E112,C110,C112),"")</f>
        <v/>
      </c>
      <c r="G111" s="399"/>
    </row>
    <row r="112" spans="1:7" hidden="1" x14ac:dyDescent="0.2">
      <c r="A112" s="37"/>
      <c r="B112" s="904"/>
      <c r="C112" s="903" t="str">
        <f>IF(COUNT(C106,C108)=2,IF(C106&lt;C108,B106,B108),"")</f>
        <v/>
      </c>
      <c r="D112" s="918"/>
      <c r="E112" s="909">
        <v>10</v>
      </c>
      <c r="F112" s="916" t="s">
        <v>274</v>
      </c>
      <c r="G112" s="917"/>
    </row>
    <row r="113" spans="1:7" hidden="1" x14ac:dyDescent="0.2">
      <c r="A113" s="37"/>
      <c r="B113" s="905"/>
      <c r="C113" s="905"/>
      <c r="D113" s="905"/>
      <c r="E113" s="905"/>
      <c r="F113" s="919"/>
      <c r="G113" s="920"/>
    </row>
    <row r="114" spans="1:7" ht="13.5" hidden="1" thickBot="1" x14ac:dyDescent="0.25">
      <c r="A114" s="37"/>
      <c r="B114" s="905"/>
      <c r="C114" s="919"/>
      <c r="D114" s="919"/>
      <c r="E114" s="905"/>
      <c r="F114" s="926" t="str">
        <f>IF(COUNT(E110,E112)=2,IF(E110&lt;E112,C110,C112),"")</f>
        <v/>
      </c>
      <c r="G114" s="922"/>
    </row>
    <row r="115" spans="1:7" hidden="1" x14ac:dyDescent="0.2">
      <c r="A115" s="37"/>
      <c r="B115" s="905"/>
      <c r="C115" s="919"/>
      <c r="D115" s="919"/>
      <c r="E115" s="905"/>
      <c r="F115" s="923" t="s">
        <v>272</v>
      </c>
      <c r="G115" s="399"/>
    </row>
    <row r="116" spans="1:7" hidden="1" x14ac:dyDescent="0.2">
      <c r="A116" s="37"/>
      <c r="B116" s="399"/>
      <c r="C116" s="399"/>
      <c r="D116" s="399"/>
      <c r="E116" s="399"/>
      <c r="F116" s="399"/>
      <c r="G116" s="399"/>
    </row>
    <row r="117" spans="1:7" hidden="1" x14ac:dyDescent="0.2">
      <c r="A117" s="901" t="s">
        <v>317</v>
      </c>
      <c r="B117" s="399"/>
      <c r="C117" s="399"/>
      <c r="D117" s="399"/>
      <c r="E117" s="399"/>
      <c r="F117" s="399"/>
      <c r="G117" s="399"/>
    </row>
    <row r="118" spans="1:7" hidden="1" x14ac:dyDescent="0.2">
      <c r="A118" s="399"/>
      <c r="B118" s="399"/>
      <c r="C118" s="399"/>
      <c r="D118" s="399"/>
      <c r="E118" s="399"/>
      <c r="F118" s="399"/>
      <c r="G118" s="399"/>
    </row>
    <row r="119" spans="1:7" hidden="1" x14ac:dyDescent="0.2">
      <c r="A119" s="902" t="s">
        <v>318</v>
      </c>
      <c r="B119" s="903" t="str">
        <f>IF(A119="-","-",IFERROR(INDEX(B$1:B$100,MATCH(A119,I$1:I$100,0)),""))</f>
        <v/>
      </c>
      <c r="C119" s="904">
        <v>8</v>
      </c>
      <c r="D119" s="904"/>
      <c r="E119" s="904"/>
      <c r="F119" s="905"/>
      <c r="G119" s="399"/>
    </row>
    <row r="120" spans="1:7" hidden="1" x14ac:dyDescent="0.2">
      <c r="A120" s="902"/>
      <c r="B120" s="906"/>
      <c r="C120" s="907" t="str">
        <f>IF(COUNT(C119,C121)=2,IF(C119&gt;C121,B119,B121),"")</f>
        <v/>
      </c>
      <c r="D120" s="905"/>
      <c r="E120" s="904">
        <v>13</v>
      </c>
      <c r="F120" s="905"/>
      <c r="G120" s="399"/>
    </row>
    <row r="121" spans="1:7" hidden="1" x14ac:dyDescent="0.2">
      <c r="A121" s="902" t="s">
        <v>319</v>
      </c>
      <c r="B121" s="908" t="str">
        <f>IF(A121="-","-",IFERROR(INDEX(B$1:B$100,MATCH(A121,I$1:I$100,0)),""))</f>
        <v/>
      </c>
      <c r="C121" s="909">
        <v>13</v>
      </c>
      <c r="D121" s="910"/>
      <c r="E121" s="905"/>
      <c r="F121" s="905"/>
      <c r="G121" s="399"/>
    </row>
    <row r="122" spans="1:7" ht="13.5" hidden="1" thickBot="1" x14ac:dyDescent="0.25">
      <c r="A122" s="902"/>
      <c r="B122" s="905"/>
      <c r="C122" s="911"/>
      <c r="D122" s="912"/>
      <c r="E122" s="913"/>
      <c r="F122" s="914" t="str">
        <f>IF(COUNT(E120,E124)=2,IF(E120&gt;E124,C120,C124),"")</f>
        <v/>
      </c>
      <c r="G122" s="399"/>
    </row>
    <row r="123" spans="1:7" hidden="1" x14ac:dyDescent="0.2">
      <c r="A123" s="902" t="s">
        <v>320</v>
      </c>
      <c r="B123" s="903" t="str">
        <f>IF(A123="-","-",IFERROR(INDEX(B$1:B$100,MATCH(A123,I$1:I$100,0)),""))</f>
        <v/>
      </c>
      <c r="C123" s="904">
        <v>10</v>
      </c>
      <c r="D123" s="912"/>
      <c r="E123" s="915"/>
      <c r="F123" s="916" t="s">
        <v>273</v>
      </c>
      <c r="G123" s="917"/>
    </row>
    <row r="124" spans="1:7" hidden="1" x14ac:dyDescent="0.2">
      <c r="A124" s="902"/>
      <c r="B124" s="906"/>
      <c r="C124" s="907" t="str">
        <f>IF(COUNT(C123,C125)=2,IF(C123&gt;C125,B123,B125),"")</f>
        <v/>
      </c>
      <c r="D124" s="918"/>
      <c r="E124" s="909">
        <v>1</v>
      </c>
      <c r="F124" s="919"/>
      <c r="G124" s="920"/>
    </row>
    <row r="125" spans="1:7" ht="13.5" hidden="1" thickBot="1" x14ac:dyDescent="0.25">
      <c r="A125" s="902" t="s">
        <v>321</v>
      </c>
      <c r="B125" s="908" t="str">
        <f>IF(A125="-","-",IFERROR(INDEX(B$1:B$100,MATCH(A125,I$1:I$100,0)),""))</f>
        <v/>
      </c>
      <c r="C125" s="909">
        <v>13</v>
      </c>
      <c r="D125" s="904"/>
      <c r="E125" s="911"/>
      <c r="F125" s="921" t="str">
        <f>IF(COUNT(E120,E124)=2,IF(E120&lt;E124,C120,C124),"")</f>
        <v/>
      </c>
      <c r="G125" s="922"/>
    </row>
    <row r="126" spans="1:7" hidden="1" x14ac:dyDescent="0.2">
      <c r="A126" s="37"/>
      <c r="B126" s="904"/>
      <c r="C126" s="904"/>
      <c r="D126" s="904"/>
      <c r="E126" s="911"/>
      <c r="F126" s="923" t="s">
        <v>271</v>
      </c>
      <c r="G126" s="399"/>
    </row>
    <row r="127" spans="1:7" hidden="1" x14ac:dyDescent="0.2">
      <c r="A127" s="37"/>
      <c r="B127" s="904"/>
      <c r="C127" s="914" t="str">
        <f>IF(COUNT(C119,C121)=2,IF(C119&lt;C121,B119,B121),"")</f>
        <v/>
      </c>
      <c r="D127" s="905"/>
      <c r="E127" s="911">
        <v>13</v>
      </c>
      <c r="F127" s="919"/>
      <c r="G127" s="399"/>
    </row>
    <row r="128" spans="1:7" ht="13.5" hidden="1" thickBot="1" x14ac:dyDescent="0.25">
      <c r="A128" s="37"/>
      <c r="B128" s="904"/>
      <c r="C128" s="906"/>
      <c r="D128" s="924"/>
      <c r="E128" s="925"/>
      <c r="F128" s="914" t="str">
        <f>IF(COUNT(E127,E129)=2,IF(E127&gt;E129,C127,C129),"")</f>
        <v/>
      </c>
      <c r="G128" s="399"/>
    </row>
    <row r="129" spans="1:7" hidden="1" x14ac:dyDescent="0.2">
      <c r="A129" s="37"/>
      <c r="B129" s="904"/>
      <c r="C129" s="903" t="str">
        <f>IF(COUNT(C123,C125)=2,IF(C123&lt;C125,B123,B125),"")</f>
        <v/>
      </c>
      <c r="D129" s="918"/>
      <c r="E129" s="909">
        <v>12</v>
      </c>
      <c r="F129" s="916" t="s">
        <v>279</v>
      </c>
      <c r="G129" s="917"/>
    </row>
    <row r="130" spans="1:7" hidden="1" x14ac:dyDescent="0.2">
      <c r="A130" s="37"/>
      <c r="B130" s="905"/>
      <c r="C130" s="905"/>
      <c r="D130" s="905"/>
      <c r="E130" s="905"/>
      <c r="F130" s="919"/>
      <c r="G130" s="920"/>
    </row>
    <row r="131" spans="1:7" ht="13.5" hidden="1" thickBot="1" x14ac:dyDescent="0.25">
      <c r="A131" s="37"/>
      <c r="B131" s="905"/>
      <c r="C131" s="919"/>
      <c r="D131" s="919"/>
      <c r="E131" s="905"/>
      <c r="F131" s="926" t="str">
        <f>IF(COUNT(E127,E129)=2,IF(E127&lt;E129,C127,C129),"")</f>
        <v/>
      </c>
      <c r="G131" s="922"/>
    </row>
    <row r="132" spans="1:7" hidden="1" x14ac:dyDescent="0.2">
      <c r="A132" s="37"/>
      <c r="B132" s="905"/>
      <c r="C132" s="919"/>
      <c r="D132" s="919"/>
      <c r="E132" s="905"/>
      <c r="F132" s="923" t="s">
        <v>275</v>
      </c>
      <c r="G132" s="399"/>
    </row>
    <row r="133" spans="1:7" hidden="1" x14ac:dyDescent="0.2"/>
    <row r="134" spans="1:7" hidden="1" x14ac:dyDescent="0.2"/>
    <row r="135" spans="1:7" hidden="1" x14ac:dyDescent="0.2"/>
    <row r="136" spans="1:7" hidden="1" x14ac:dyDescent="0.2"/>
    <row r="137" spans="1:7" hidden="1" x14ac:dyDescent="0.2"/>
    <row r="138" spans="1:7" hidden="1" x14ac:dyDescent="0.2"/>
    <row r="139" spans="1:7" hidden="1" x14ac:dyDescent="0.2"/>
    <row r="140" spans="1:7" hidden="1" x14ac:dyDescent="0.2"/>
    <row r="141" spans="1:7" hidden="1" x14ac:dyDescent="0.2"/>
    <row r="142" spans="1:7" hidden="1" x14ac:dyDescent="0.2"/>
    <row r="143" spans="1:7" hidden="1" x14ac:dyDescent="0.2"/>
    <row r="144" spans="1: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433</v>
      </c>
      <c r="C300" s="981">
        <v>40</v>
      </c>
    </row>
    <row r="301" spans="1:3" x14ac:dyDescent="0.2">
      <c r="A301" s="449">
        <v>2</v>
      </c>
      <c r="B301" s="450" t="s">
        <v>434</v>
      </c>
      <c r="C301" s="981">
        <v>34</v>
      </c>
    </row>
    <row r="302" spans="1:3" x14ac:dyDescent="0.2">
      <c r="A302" s="449">
        <v>3</v>
      </c>
      <c r="B302" s="450" t="s">
        <v>435</v>
      </c>
      <c r="C302" s="981">
        <v>30</v>
      </c>
    </row>
    <row r="303" spans="1:3" x14ac:dyDescent="0.2">
      <c r="A303" s="449">
        <v>4</v>
      </c>
      <c r="B303" s="450" t="s">
        <v>436</v>
      </c>
      <c r="C303" s="981">
        <v>26</v>
      </c>
    </row>
    <row r="304" spans="1:3" x14ac:dyDescent="0.2">
      <c r="A304" s="449">
        <v>5</v>
      </c>
      <c r="B304" s="450" t="s">
        <v>437</v>
      </c>
      <c r="C304" s="981">
        <v>24</v>
      </c>
    </row>
    <row r="305" spans="1:3" x14ac:dyDescent="0.2">
      <c r="A305" s="449">
        <v>6</v>
      </c>
      <c r="B305" s="450" t="s">
        <v>438</v>
      </c>
      <c r="C305" s="981">
        <v>22</v>
      </c>
    </row>
    <row r="306" spans="1:3" x14ac:dyDescent="0.2">
      <c r="A306" s="449">
        <v>7</v>
      </c>
      <c r="B306" s="450" t="s">
        <v>439</v>
      </c>
      <c r="C306" s="981">
        <v>20</v>
      </c>
    </row>
    <row r="307" spans="1:3" x14ac:dyDescent="0.2">
      <c r="A307" s="449">
        <v>8</v>
      </c>
      <c r="B307" s="450" t="s">
        <v>440</v>
      </c>
      <c r="C307" s="981">
        <v>18</v>
      </c>
    </row>
  </sheetData>
  <conditionalFormatting sqref="A300:A307">
    <cfRule type="duplicateValues" dxfId="3103" priority="138"/>
  </conditionalFormatting>
  <conditionalFormatting sqref="B300:B307">
    <cfRule type="expression" dxfId="3102" priority="133">
      <formula>A300=3</formula>
    </cfRule>
    <cfRule type="expression" dxfId="3101" priority="134">
      <formula>A300=2</formula>
    </cfRule>
    <cfRule type="expression" dxfId="3100" priority="135">
      <formula>A300=1</formula>
    </cfRule>
    <cfRule type="containsBlanks" dxfId="3099" priority="136">
      <formula>LEN(TRIM(B300))=0</formula>
    </cfRule>
    <cfRule type="duplicateValues" dxfId="3098" priority="137"/>
  </conditionalFormatting>
  <conditionalFormatting sqref="D7 C8">
    <cfRule type="aboveAverage" dxfId="3097" priority="117"/>
  </conditionalFormatting>
  <conditionalFormatting sqref="E7 C9">
    <cfRule type="aboveAverage" dxfId="3096" priority="116"/>
  </conditionalFormatting>
  <conditionalFormatting sqref="F7 C10">
    <cfRule type="aboveAverage" dxfId="3095" priority="115"/>
  </conditionalFormatting>
  <conditionalFormatting sqref="E8 D9">
    <cfRule type="aboveAverage" dxfId="3094" priority="114"/>
  </conditionalFormatting>
  <conditionalFormatting sqref="G7 C11">
    <cfRule type="aboveAverage" dxfId="3093" priority="113"/>
  </conditionalFormatting>
  <conditionalFormatting sqref="F8 D10">
    <cfRule type="aboveAverage" dxfId="3092" priority="112"/>
  </conditionalFormatting>
  <conditionalFormatting sqref="G8 D11">
    <cfRule type="aboveAverage" dxfId="3091" priority="111"/>
  </conditionalFormatting>
  <conditionalFormatting sqref="F9 E10">
    <cfRule type="aboveAverage" dxfId="3090" priority="110"/>
  </conditionalFormatting>
  <conditionalFormatting sqref="G9 E11">
    <cfRule type="aboveAverage" dxfId="3089" priority="109"/>
  </conditionalFormatting>
  <conditionalFormatting sqref="F11 G10">
    <cfRule type="aboveAverage" dxfId="3088" priority="108"/>
  </conditionalFormatting>
  <conditionalFormatting sqref="D14 C15">
    <cfRule type="aboveAverage" dxfId="3087" priority="107"/>
  </conditionalFormatting>
  <conditionalFormatting sqref="E14 C16">
    <cfRule type="aboveAverage" dxfId="3086" priority="106"/>
  </conditionalFormatting>
  <conditionalFormatting sqref="F14 C17">
    <cfRule type="aboveAverage" dxfId="3085" priority="105"/>
  </conditionalFormatting>
  <conditionalFormatting sqref="E15 D16">
    <cfRule type="aboveAverage" dxfId="3084" priority="104"/>
  </conditionalFormatting>
  <conditionalFormatting sqref="G14 C18">
    <cfRule type="aboveAverage" dxfId="3083" priority="103"/>
  </conditionalFormatting>
  <conditionalFormatting sqref="F15 D17">
    <cfRule type="aboveAverage" dxfId="3082" priority="102"/>
  </conditionalFormatting>
  <conditionalFormatting sqref="G15 D18">
    <cfRule type="aboveAverage" dxfId="3081" priority="101"/>
  </conditionalFormatting>
  <conditionalFormatting sqref="F16 E17">
    <cfRule type="aboveAverage" dxfId="3080" priority="100"/>
  </conditionalFormatting>
  <conditionalFormatting sqref="G16 E18">
    <cfRule type="aboveAverage" dxfId="3079" priority="99"/>
  </conditionalFormatting>
  <conditionalFormatting sqref="F18 G17">
    <cfRule type="aboveAverage" dxfId="3078" priority="98"/>
  </conditionalFormatting>
  <conditionalFormatting sqref="I7:I11">
    <cfRule type="expression" dxfId="3077" priority="96">
      <formula>FIND(2,I7,1)</formula>
    </cfRule>
    <cfRule type="expression" dxfId="3076" priority="97">
      <formula>FIND(1,I7,1)</formula>
    </cfRule>
  </conditionalFormatting>
  <conditionalFormatting sqref="H14:H18">
    <cfRule type="expression" dxfId="3075" priority="40">
      <formula>AND(Q14=4,IF(COUNTIF(Q$14:Q$18,"=4")&gt;=2,TRUE))</formula>
    </cfRule>
    <cfRule type="expression" dxfId="3074" priority="118">
      <formula>AND(Q14=3,IF(COUNTIF(Q$14:Q$18,"=3")&gt;=2,TRUE))</formula>
    </cfRule>
    <cfRule type="expression" dxfId="3073" priority="119">
      <formula>AND(Q14=2,IF(COUNTIF(Q$14:Q$18,"=2")&gt;=2,TRUE))</formula>
    </cfRule>
    <cfRule type="expression" dxfId="3072" priority="120">
      <formula>AND(Q14=1,IF(COUNTIF(Q$14:Q$18,"=1")&gt;=2,TRUE))</formula>
    </cfRule>
  </conditionalFormatting>
  <conditionalFormatting sqref="B11:B18">
    <cfRule type="duplicateValues" dxfId="3071" priority="95"/>
  </conditionalFormatting>
  <conditionalFormatting sqref="L7:L11">
    <cfRule type="expression" dxfId="3070" priority="78">
      <formula>K7=0</formula>
    </cfRule>
    <cfRule type="expression" dxfId="3069" priority="87">
      <formula>IF(COUNTIF(J$7:J$11,"=2")=2,TRUE)</formula>
    </cfRule>
    <cfRule type="expression" dxfId="3068" priority="88">
      <formula>IF(COUNTIF(J$7:J$11,"=1")=2,TRUE)</formula>
    </cfRule>
    <cfRule type="expression" dxfId="3067" priority="89">
      <formula>AND(IF(COUNTIF(Q$7:Q$11,"=1")=2,TRUE),IF(COUNTIF(Q$7:Q$11,"=2")=2,TRUE))</formula>
    </cfRule>
    <cfRule type="expression" dxfId="3066" priority="90">
      <formula>AND(Q7=4,IF(COUNTIF(Q$7:Q$11,"=4")=1,TRUE))</formula>
    </cfRule>
    <cfRule type="expression" dxfId="3065" priority="91">
      <formula>AND(Q7=3,IF(COUNTIF(Q$7:Q$11,"=3")=1,TRUE))</formula>
    </cfRule>
    <cfRule type="expression" dxfId="3064" priority="92">
      <formula>AND(Q7=2,IF(COUNTIF(Q$7:Q$11,"=2")=1,TRUE))</formula>
    </cfRule>
    <cfRule type="expression" dxfId="3063" priority="93">
      <formula>AND(Q7=1,IF(COUNTIF(Q$7:Q$11,"=1")=1,TRUE))</formula>
    </cfRule>
    <cfRule type="expression" dxfId="3062" priority="94">
      <formula>OR(Q7=0,Q7=5)</formula>
    </cfRule>
  </conditionalFormatting>
  <conditionalFormatting sqref="O7:O11">
    <cfRule type="expression" dxfId="3061" priority="86">
      <formula>OR(AND(J7=1,K7=1,L7=0,M7=1),AND(J7=2,K7=2,L7=0,M7=2))</formula>
    </cfRule>
  </conditionalFormatting>
  <conditionalFormatting sqref="M7:M11">
    <cfRule type="expression" dxfId="3060" priority="79">
      <formula>AND(L7&gt;0,IF(COUNTIF(L$7:L$11,L7)&gt;1,TRUE,FALSE))</formula>
    </cfRule>
    <cfRule type="expression" dxfId="3059" priority="80">
      <formula>AND(IF(COUNTIF(R$7:R$11,"=1")=2,TRUE),IF(COUNTIF(R$7:R$11,"=2")=2,TRUE))</formula>
    </cfRule>
    <cfRule type="expression" dxfId="3058" priority="81">
      <formula>AND(R7=4,IF(COUNTIF(R$7:R$11,"=4")=1,TRUE))</formula>
    </cfRule>
    <cfRule type="expression" dxfId="3057" priority="82">
      <formula>AND(R7=3,IF(COUNTIF(R$7:R$11,"=3")=1,TRUE))</formula>
    </cfRule>
    <cfRule type="expression" dxfId="3056" priority="83">
      <formula>AND(R7=2,IF(COUNTIF(R$7:R$11,"=2")=1,TRUE))</formula>
    </cfRule>
    <cfRule type="expression" dxfId="3055" priority="84">
      <formula>AND(R7=1,IF(COUNTIF(R$7:R$11,"=1")=1,TRUE))</formula>
    </cfRule>
    <cfRule type="expression" dxfId="3054" priority="85">
      <formula>OR(R7=0,R7=5)</formula>
    </cfRule>
  </conditionalFormatting>
  <conditionalFormatting sqref="J7:J11">
    <cfRule type="expression" dxfId="3053" priority="74">
      <formula>AND(Q7=4,IF(COUNTIF(Q$7:Q$11,"=4")&gt;=2,TRUE))</formula>
    </cfRule>
    <cfRule type="expression" dxfId="3052" priority="75">
      <formula>AND(Q7=3,IF(COUNTIF(Q$7:Q$11,"=3")&gt;=2,TRUE))</formula>
    </cfRule>
    <cfRule type="expression" dxfId="3051" priority="76">
      <formula>AND(Q7=2,IF(COUNTIF(Q$7:Q$11,"=2")&gt;=2,TRUE))</formula>
    </cfRule>
    <cfRule type="expression" dxfId="3050" priority="77">
      <formula>AND(Q7=1,IF(COUNTIF(Q$7:Q$11,"=1")&gt;=2,TRUE))</formula>
    </cfRule>
  </conditionalFormatting>
  <conditionalFormatting sqref="H7:H11">
    <cfRule type="expression" dxfId="3049" priority="41">
      <formula>AND(Q7=4,IF(COUNTIF(Q$7:Q$11,"=4")&gt;=2,TRUE))</formula>
    </cfRule>
    <cfRule type="expression" dxfId="3048" priority="121">
      <formula>AND(Q7=3,IF(COUNTIF(Q$7:Q$11,"=3")&gt;=2,TRUE))</formula>
    </cfRule>
    <cfRule type="expression" dxfId="3047" priority="122">
      <formula>AND(Q7=2,IF(COUNTIF(Q$7:Q$11,"=2")&gt;=2,TRUE))</formula>
    </cfRule>
    <cfRule type="expression" dxfId="3046" priority="123">
      <formula>AND(Q7=1,IF(COUNTIF(Q$7:Q$11,"=1")&gt;=2,TRUE))</formula>
    </cfRule>
  </conditionalFormatting>
  <conditionalFormatting sqref="K7:K11">
    <cfRule type="expression" dxfId="3045" priority="124">
      <formula>AND(J7&gt;0,IF(COUNTIF(J$7:J$11,"=1")=2,TRUE),IF(COUNTIF(J$7:J$11,"=2")=2,TRUE))</formula>
    </cfRule>
    <cfRule type="expression" dxfId="3044" priority="125">
      <formula>IF(COUNTIF(L$7:L$11,"=2")=2,TRUE)</formula>
    </cfRule>
    <cfRule type="expression" dxfId="3043" priority="126">
      <formula>IF(COUNTIF(L$7:L$11,"=1")=2,TRUE)</formula>
    </cfRule>
    <cfRule type="expression" dxfId="3042" priority="127">
      <formula>AND(IF(COUNTIF(R$7:R$11,"=1")=2,TRUE),IF(COUNTIF(S$7:S$11,"=2")=2,TRUE))</formula>
    </cfRule>
    <cfRule type="expression" dxfId="3041" priority="128">
      <formula>AND(R7=4,IF(COUNTIF(R$7:R$11,"=4")=1,TRUE))</formula>
    </cfRule>
    <cfRule type="expression" dxfId="3040" priority="129">
      <formula>AND(R7=3,IF(COUNTIF(R$7:R$11,"=3")=1,TRUE))</formula>
    </cfRule>
    <cfRule type="expression" dxfId="3039" priority="130">
      <formula>AND(R7=2,IF(COUNTIF(R$7:R$11,"=2")=1,TRUE))</formula>
    </cfRule>
    <cfRule type="expression" dxfId="3038" priority="131">
      <formula>AND(R7=1,IF(COUNTIF(R$7:R$11,"=1")=1,TRUE))</formula>
    </cfRule>
    <cfRule type="expression" dxfId="3037" priority="132">
      <formula>OR(R7=0,R7=5)</formula>
    </cfRule>
  </conditionalFormatting>
  <conditionalFormatting sqref="I14:I18">
    <cfRule type="expression" dxfId="3036" priority="63">
      <formula>FIND(2,I14,1)</formula>
    </cfRule>
    <cfRule type="expression" dxfId="3035" priority="64">
      <formula>FIND(1,I14,1)</formula>
    </cfRule>
  </conditionalFormatting>
  <conditionalFormatting sqref="L14:L18">
    <cfRule type="expression" dxfId="3034" priority="46">
      <formula>K14=0</formula>
    </cfRule>
    <cfRule type="expression" dxfId="3033" priority="55">
      <formula>IF(COUNTIF(J$14:J$18,"=2")=2,TRUE)</formula>
    </cfRule>
    <cfRule type="expression" dxfId="3032" priority="56">
      <formula>IF(COUNTIF(J$14:J$18,"=1")=2,TRUE)</formula>
    </cfRule>
    <cfRule type="expression" dxfId="3031" priority="57">
      <formula>AND(IF(COUNTIF(Q$14:Q$18,"=1")=2,TRUE),IF(COUNTIF(Q$14:Q$18,"=2")=2,TRUE))</formula>
    </cfRule>
    <cfRule type="expression" dxfId="3030" priority="58">
      <formula>AND(Q14=4,IF(COUNTIF(Q$14:Q$18,"=4")=1,TRUE))</formula>
    </cfRule>
    <cfRule type="expression" dxfId="3029" priority="59">
      <formula>AND(Q14=3,IF(COUNTIF(Q$14:Q$18,"=3")=1,TRUE))</formula>
    </cfRule>
    <cfRule type="expression" dxfId="3028" priority="60">
      <formula>AND(Q14=2,IF(COUNTIF(Q$14:Q$18,"=2")=1,TRUE))</formula>
    </cfRule>
    <cfRule type="expression" dxfId="3027" priority="61">
      <formula>AND(Q14=1,IF(COUNTIF(Q$14:Q$18,"=1")=1,TRUE))</formula>
    </cfRule>
    <cfRule type="expression" dxfId="3026" priority="62">
      <formula>OR(Q14=0,Q14=5)</formula>
    </cfRule>
  </conditionalFormatting>
  <conditionalFormatting sqref="O14:O18">
    <cfRule type="expression" dxfId="3025" priority="54">
      <formula>OR(AND(J14=1,K14=1,L14=0,M14=1),AND(J14=2,K14=2,L14=0,M14=2))</formula>
    </cfRule>
  </conditionalFormatting>
  <conditionalFormatting sqref="M14:M18">
    <cfRule type="expression" dxfId="3024" priority="47">
      <formula>AND(L14&gt;0,IF(COUNTIF(L$14:L$18,L14)&gt;1,TRUE,FALSE))</formula>
    </cfRule>
    <cfRule type="expression" dxfId="3023" priority="48">
      <formula>AND(IF(COUNTIF(R$14:R$18,"=1")=2,TRUE),IF(COUNTIF(R$14:R$18,"=2")=2,TRUE))</formula>
    </cfRule>
    <cfRule type="expression" dxfId="3022" priority="49">
      <formula>AND(R14=4,IF(COUNTIF(R$14:R$18,"=4")=1,TRUE))</formula>
    </cfRule>
    <cfRule type="expression" dxfId="3021" priority="50">
      <formula>AND(R14=3,IF(COUNTIF(R$14:R$18,"=3")=1,TRUE))</formula>
    </cfRule>
    <cfRule type="expression" dxfId="3020" priority="51">
      <formula>AND(R14=2,IF(COUNTIF(R$14:R$18,"=2")=1,TRUE))</formula>
    </cfRule>
    <cfRule type="expression" dxfId="3019" priority="52">
      <formula>AND(R14=1,IF(COUNTIF(R$14:R$18,"=1")=1,TRUE))</formula>
    </cfRule>
    <cfRule type="expression" dxfId="3018" priority="53">
      <formula>OR(R14=0,R14=5)</formula>
    </cfRule>
  </conditionalFormatting>
  <conditionalFormatting sqref="J14:J18">
    <cfRule type="expression" dxfId="3017" priority="42">
      <formula>AND(Q14=4,IF(COUNTIF(Q$14:Q$18,"=4")&gt;=2,TRUE))</formula>
    </cfRule>
    <cfRule type="expression" dxfId="3016" priority="43">
      <formula>AND(Q14=3,IF(COUNTIF(Q$14:Q$18,"=3")&gt;=2,TRUE))</formula>
    </cfRule>
    <cfRule type="expression" dxfId="3015" priority="44">
      <formula>AND(Q14=2,IF(COUNTIF(Q$14:Q$18,"=2")&gt;=2,TRUE))</formula>
    </cfRule>
    <cfRule type="expression" dxfId="3014" priority="45">
      <formula>AND(Q14=1,IF(COUNTIF(Q$14:Q$18,"=1")&gt;=2,TRUE))</formula>
    </cfRule>
  </conditionalFormatting>
  <conditionalFormatting sqref="K14:K18">
    <cfRule type="expression" dxfId="3013" priority="65">
      <formula>AND(J14&gt;0,IF(COUNTIF(J$14:J$18,"=1")=2,TRUE),IF(COUNTIF(J$14:J$18,"=2")=2,TRUE))</formula>
    </cfRule>
    <cfRule type="expression" dxfId="3012" priority="66">
      <formula>IF(COUNTIF(L$14:L$18,"=2")=2,TRUE)</formula>
    </cfRule>
    <cfRule type="expression" dxfId="3011" priority="67">
      <formula>IF(COUNTIF(L$14:L$18,"=1")=2,TRUE)</formula>
    </cfRule>
    <cfRule type="expression" dxfId="3010" priority="68">
      <formula>AND(IF(COUNTIF(R$14:R$18,"=1")=2,TRUE),IF(COUNTIF(S$14:S$18,"=2")=2,TRUE))</formula>
    </cfRule>
    <cfRule type="expression" dxfId="3009" priority="69">
      <formula>AND(R14=4,IF(COUNTIF(R$14:R$18,"=4")=1,TRUE))</formula>
    </cfRule>
    <cfRule type="expression" dxfId="3008" priority="70">
      <formula>AND(R14=3,IF(COUNTIF(R$14:R$18,"=3")=1,TRUE))</formula>
    </cfRule>
    <cfRule type="expression" dxfId="3007" priority="71">
      <formula>AND(R14=2,IF(COUNTIF(R$14:R$18,"=2")=1,TRUE))</formula>
    </cfRule>
    <cfRule type="expression" dxfId="3006" priority="72">
      <formula>AND(R14=1,IF(COUNTIF(R$14:R$18,"=1")=1,TRUE))</formula>
    </cfRule>
    <cfRule type="expression" dxfId="3005" priority="73">
      <formula>OR(R14=0,R14=5)</formula>
    </cfRule>
  </conditionalFormatting>
  <conditionalFormatting sqref="C102 C104">
    <cfRule type="containsBlanks" dxfId="3004" priority="38">
      <formula>LEN(TRIM(C102))=0</formula>
    </cfRule>
    <cfRule type="aboveAverage" dxfId="3003" priority="39"/>
  </conditionalFormatting>
  <conditionalFormatting sqref="C106 C108">
    <cfRule type="containsBlanks" dxfId="3002" priority="36">
      <formula>LEN(TRIM(C106))=0</formula>
    </cfRule>
    <cfRule type="aboveAverage" dxfId="3001" priority="37"/>
  </conditionalFormatting>
  <conditionalFormatting sqref="C119 C121">
    <cfRule type="containsBlanks" dxfId="3000" priority="34">
      <formula>LEN(TRIM(C119))=0</formula>
    </cfRule>
    <cfRule type="aboveAverage" dxfId="2999" priority="35"/>
  </conditionalFormatting>
  <conditionalFormatting sqref="C123 C125">
    <cfRule type="containsBlanks" dxfId="2998" priority="32">
      <formula>LEN(TRIM(C123))=0</formula>
    </cfRule>
    <cfRule type="aboveAverage" dxfId="2997" priority="33"/>
  </conditionalFormatting>
  <conditionalFormatting sqref="E127 E129">
    <cfRule type="containsBlanks" dxfId="2996" priority="24">
      <formula>LEN(TRIM(E127))=0</formula>
    </cfRule>
  </conditionalFormatting>
  <conditionalFormatting sqref="E110 E112">
    <cfRule type="aboveAverage" dxfId="2995" priority="29"/>
  </conditionalFormatting>
  <conditionalFormatting sqref="E110 E112">
    <cfRule type="containsBlanks" dxfId="2994" priority="28">
      <formula>LEN(TRIM(E110))=0</formula>
    </cfRule>
  </conditionalFormatting>
  <conditionalFormatting sqref="E103 E107">
    <cfRule type="containsBlanks" dxfId="2993" priority="30">
      <formula>LEN(TRIM(E103))=0</formula>
    </cfRule>
    <cfRule type="aboveAverage" dxfId="2992" priority="31"/>
  </conditionalFormatting>
  <conditionalFormatting sqref="E127 E129">
    <cfRule type="aboveAverage" dxfId="2991" priority="25"/>
  </conditionalFormatting>
  <conditionalFormatting sqref="E120 E124">
    <cfRule type="containsBlanks" dxfId="2990" priority="26">
      <formula>LEN(TRIM(E120))=0</formula>
    </cfRule>
    <cfRule type="aboveAverage" dxfId="2989" priority="27"/>
  </conditionalFormatting>
  <conditionalFormatting sqref="B7:B10">
    <cfRule type="duplicateValues" dxfId="2988" priority="23"/>
  </conditionalFormatting>
  <conditionalFormatting sqref="AJ6:AJ22 AJ27:AJ31">
    <cfRule type="expression" dxfId="2987" priority="5">
      <formula>AND(AI6="",FIND(",",AJ6))</formula>
    </cfRule>
    <cfRule type="expression" dxfId="2986" priority="7">
      <formula>AND(AI6="",COUNTIF(AJ6,"*,*")=0)</formula>
    </cfRule>
  </conditionalFormatting>
  <conditionalFormatting sqref="AH6:AH22 AH27:AH31">
    <cfRule type="expression" dxfId="2985" priority="8">
      <formula>AND(AG6="",FIND(",",AH6))</formula>
    </cfRule>
    <cfRule type="expression" dxfId="2984" priority="9">
      <formula>AND(AG6="",COUNTIF(AH6,"*,*")=0)</formula>
    </cfRule>
  </conditionalFormatting>
  <conditionalFormatting sqref="AL6:AL22 AL27:AL31">
    <cfRule type="expression" dxfId="2983" priority="10">
      <formula>AND(AK6="",FIND(",",AL6))</formula>
    </cfRule>
    <cfRule type="expression" dxfId="2982" priority="11">
      <formula>AND(AK6="",COUNTIF(AL6,"*,*")=0)</formula>
    </cfRule>
  </conditionalFormatting>
  <conditionalFormatting sqref="AF6:AF22 AF27:AF31">
    <cfRule type="expression" dxfId="2981" priority="6">
      <formula>AND(AE6="",COUNTIF(AF6,"*,*")=0)</formula>
    </cfRule>
  </conditionalFormatting>
  <conditionalFormatting sqref="AN6:AN22 AN27:AN31">
    <cfRule type="expression" dxfId="2980" priority="2">
      <formula>AND(AM6="",COUNTIF(AN6,"*,*")=0)</formula>
    </cfRule>
    <cfRule type="expression" dxfId="2979" priority="4">
      <formula>AND(AM6="",FIND(",",AN6))</formula>
    </cfRule>
  </conditionalFormatting>
  <conditionalFormatting sqref="AP6:AP22 AP27:AP31">
    <cfRule type="expression" dxfId="2978" priority="1">
      <formula>AND(AO6="",COUNTIF(AP6,"*,*")=0)</formula>
    </cfRule>
    <cfRule type="expression" dxfId="2977" priority="3">
      <formula>AND(AO6="",FIND(",",AP6))</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11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13"/>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45.8554687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5.7109375" hidden="1" customWidth="1"/>
    <col min="33" max="33" width="0" hidden="1" customWidth="1"/>
    <col min="34" max="34" width="34.5703125" hidden="1" customWidth="1"/>
    <col min="35" max="35" width="0" hidden="1" customWidth="1"/>
    <col min="36" max="36" width="17.28515625" hidden="1" customWidth="1"/>
    <col min="37" max="37" width="0" hidden="1" customWidth="1"/>
    <col min="38" max="38" width="18.71093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UPPER((Kalend!E7)&amp;" - "&amp;(Kalend!C7)&amp;" - "&amp;(Kalend!D7))</f>
        <v>2 - IDA-VIRUMAA MV - DUO</v>
      </c>
      <c r="D1" s="405"/>
      <c r="E1" s="405"/>
      <c r="F1" s="405"/>
      <c r="G1" s="405"/>
      <c r="H1" s="405"/>
      <c r="I1" s="405"/>
      <c r="J1" s="405"/>
      <c r="K1" s="405"/>
      <c r="L1" s="405"/>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"&amp;(Kalend!A7)&amp;" kell "&amp;(Kalend!B7)</f>
        <v>Toimumisaeg: L, 15.05.2021 kell 11:00</v>
      </c>
      <c r="AD2" s="409"/>
      <c r="AE2" s="409"/>
      <c r="AF2" s="409"/>
      <c r="AG2" s="409"/>
      <c r="AH2" s="409"/>
      <c r="AI2" s="585"/>
      <c r="AJ2" s="409"/>
      <c r="AK2" s="409"/>
      <c r="AL2" s="409"/>
      <c r="AM2" s="409"/>
      <c r="AN2" s="409"/>
    </row>
    <row r="3" spans="1:42" x14ac:dyDescent="0.2">
      <c r="A3" s="409" t="str">
        <f>"Toimumiskoht: "&amp;(Kalend!F7)</f>
        <v>Toimumiskoht: Voka staadion</v>
      </c>
      <c r="O3" s="410" t="s">
        <v>227</v>
      </c>
      <c r="AD3" s="409"/>
      <c r="AF3" s="409"/>
      <c r="AG3" s="409"/>
      <c r="AH3" s="409"/>
      <c r="AI3" s="409"/>
      <c r="AJ3" s="409"/>
      <c r="AK3" s="409"/>
      <c r="AL3" s="409"/>
      <c r="AM3" s="409"/>
      <c r="AN3" s="409"/>
    </row>
    <row r="4" spans="1:42" x14ac:dyDescent="0.2">
      <c r="A4" s="409" t="str">
        <f>"Korraldaja: "&amp;(Kalend!G7)</f>
        <v>Korraldaja: Johannes Neiland</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551"/>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561" t="s">
        <v>441</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18" ca="1" si="0">SUM(AE7:AL7)</f>
        <v>559</v>
      </c>
      <c r="AE7" s="459">
        <f ca="1">IFERROR(INDEX(Reit!$I:$I,MATCH(AF7,Reit!$F:$F,0)),"")</f>
        <v>286</v>
      </c>
      <c r="AF7" s="460" t="str">
        <f t="shared" ref="AF7:AF33" si="1">IFERROR(LEFT($B7,(FIND(",",$B7,1)-1)),"")</f>
        <v>Henri Mitt</v>
      </c>
      <c r="AG7" s="459">
        <f ca="1">IFERROR(INDEX(Reit!$I:$I,MATCH(AH7,Reit!$F:$F,0)),"")</f>
        <v>273</v>
      </c>
      <c r="AH7" s="460" t="str">
        <f t="shared" ref="AH7:AH33" si="2">IFERROR(MID($B7,FIND(", ",$B7)+2,256),"")</f>
        <v>Kenneth Muusikus</v>
      </c>
      <c r="AI7" s="459" t="str">
        <f>IFERROR(INDEX(Reit!$I:$I,MATCH(AJ7,Reit!$F:$F,0)),"")</f>
        <v/>
      </c>
      <c r="AJ7" s="460" t="str">
        <f t="shared" ref="AJ7:AJ33" si="3">IFERROR(MID($B7,FIND("^",SUBSTITUTE($B7,", ","^",1))+2,FIND("^",SUBSTITUTE($B7,", ","^",2))-FIND("^",SUBSTITUTE($B7,", ","^",1))-2),"")</f>
        <v/>
      </c>
      <c r="AK7" s="459" t="str">
        <f>IFERROR(INDEX(Reit!$I:$I,MATCH(AL7,Reit!$F:$F,0)),"")</f>
        <v/>
      </c>
      <c r="AL7" s="460" t="str">
        <f t="shared" ref="AL7:AL33" si="4">IFERROR(MID($B7,FIND(", ",$B7,FIND(", ",$B7,FIND(", ",$B7))+1)+2,30000),"")</f>
        <v/>
      </c>
      <c r="AM7" s="459" t="str">
        <f>IFERROR(INDEX(Reit!$I:$I,MATCH(AN7,Reit!$F:$F,0)),"")</f>
        <v/>
      </c>
      <c r="AN7" s="460" t="str">
        <f t="shared" ref="AN7:AN33" si="5">IFERROR(MID($B7,FIND(", ",$B7,FIND(", ",$B7)+1)+2,FIND(", ",$B7,FIND(", ",$B7,FIND(", ",$B7)+1)+1)-FIND(", ",$B7,FIND(", ",$B7)+1)-2),"")</f>
        <v/>
      </c>
      <c r="AO7" s="459" t="str">
        <f>IFERROR(INDEX(Reit!$I:$I,MATCH(AP7,Reit!$F:$F,0)),"")</f>
        <v/>
      </c>
      <c r="AP7" s="460" t="str">
        <f t="shared" ref="AP7:AP33" si="6">IFERROR(MID($B7,FIND(", ",$B7,FIND(", ",$B7,FIND(", ",$B7)+1)+1)+2,30000),"")</f>
        <v/>
      </c>
    </row>
    <row r="8" spans="1:42" hidden="1" x14ac:dyDescent="0.2">
      <c r="A8" s="550">
        <v>2</v>
      </c>
      <c r="B8" s="576" t="s">
        <v>256</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ca="1" si="0"/>
        <v>540</v>
      </c>
      <c r="AE8" s="459">
        <f ca="1">IFERROR(INDEX(Reit!$I:$I,MATCH(AF8,Reit!$F:$F,0)),"")</f>
        <v>248</v>
      </c>
      <c r="AF8" s="460" t="str">
        <f t="shared" si="1"/>
        <v>Jaan Sepp</v>
      </c>
      <c r="AG8" s="459">
        <f ca="1">IFERROR(INDEX(Reit!$I:$I,MATCH(AH8,Reit!$F:$F,0)),"")</f>
        <v>292</v>
      </c>
      <c r="AH8" s="460" t="str">
        <f t="shared" si="2"/>
        <v>Oskar Sepp</v>
      </c>
      <c r="AI8" s="459" t="str">
        <f>IFERROR(INDEX(Reit!$I:$I,MATCH(AJ8,Reit!$F:$F,0)),"")</f>
        <v/>
      </c>
      <c r="AJ8" s="460" t="str">
        <f t="shared" si="3"/>
        <v/>
      </c>
      <c r="AK8" s="459" t="str">
        <f>IFERROR(INDEX(Reit!$I:$I,MATCH(AL8,Reit!$F:$F,0)),"")</f>
        <v/>
      </c>
      <c r="AL8" s="460" t="str">
        <f t="shared" si="4"/>
        <v/>
      </c>
      <c r="AM8" s="459" t="str">
        <f>IFERROR(INDEX(Reit!$I:$I,MATCH(AN8,Reit!$F:$F,0)),"")</f>
        <v/>
      </c>
      <c r="AN8" s="460" t="str">
        <f t="shared" si="5"/>
        <v/>
      </c>
      <c r="AO8" s="459" t="str">
        <f>IFERROR(INDEX(Reit!$I:$I,MATCH(AP8,Reit!$F:$F,0)),"")</f>
        <v/>
      </c>
      <c r="AP8" s="460" t="str">
        <f t="shared" si="6"/>
        <v/>
      </c>
    </row>
    <row r="9" spans="1:42" hidden="1" x14ac:dyDescent="0.2">
      <c r="A9" s="550">
        <v>3</v>
      </c>
      <c r="B9" s="576" t="s">
        <v>442</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ca="1" si="0"/>
        <v>526</v>
      </c>
      <c r="AE9" s="459">
        <f ca="1">IFERROR(INDEX(Reit!$I:$I,MATCH(AF9,Reit!$F:$F,0)),"")</f>
        <v>232</v>
      </c>
      <c r="AF9" s="460" t="str">
        <f t="shared" si="1"/>
        <v>Aarne Välja</v>
      </c>
      <c r="AG9" s="459">
        <f ca="1">IFERROR(INDEX(Reit!$I:$I,MATCH(AH9,Reit!$F:$F,0)),"")</f>
        <v>294</v>
      </c>
      <c r="AH9" s="460" t="str">
        <f t="shared" si="2"/>
        <v>Matti Vinni</v>
      </c>
      <c r="AI9" s="459" t="str">
        <f>IFERROR(INDEX(Reit!$I:$I,MATCH(AJ9,Reit!$F:$F,0)),"")</f>
        <v/>
      </c>
      <c r="AJ9" s="460" t="str">
        <f t="shared" si="3"/>
        <v/>
      </c>
      <c r="AK9" s="459" t="str">
        <f>IFERROR(INDEX(Reit!$I:$I,MATCH(AL9,Reit!$F:$F,0)),"")</f>
        <v/>
      </c>
      <c r="AL9" s="460" t="str">
        <f t="shared" si="4"/>
        <v/>
      </c>
      <c r="AM9" s="459" t="str">
        <f>IFERROR(INDEX(Reit!$I:$I,MATCH(AN9,Reit!$F:$F,0)),"")</f>
        <v/>
      </c>
      <c r="AN9" s="460" t="str">
        <f t="shared" si="5"/>
        <v/>
      </c>
      <c r="AO9" s="459" t="str">
        <f>IFERROR(INDEX(Reit!$I:$I,MATCH(AP9,Reit!$F:$F,0)),"")</f>
        <v/>
      </c>
      <c r="AP9" s="460" t="str">
        <f t="shared" si="6"/>
        <v/>
      </c>
    </row>
    <row r="10" spans="1:42" hidden="1" x14ac:dyDescent="0.2">
      <c r="A10" s="550">
        <v>4</v>
      </c>
      <c r="B10" s="581" t="s">
        <v>268</v>
      </c>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U10" s="584"/>
      <c r="AD10" s="458">
        <f t="shared" ca="1" si="0"/>
        <v>344</v>
      </c>
      <c r="AE10" s="459">
        <f ca="1">IFERROR(INDEX(Reit!$I:$I,MATCH(AF10,Reit!$F:$F,0)),"")</f>
        <v>185</v>
      </c>
      <c r="AF10" s="460" t="str">
        <f t="shared" si="1"/>
        <v>Boriss Klubov</v>
      </c>
      <c r="AG10" s="459">
        <f ca="1">IFERROR(INDEX(Reit!$I:$I,MATCH(AH10,Reit!$F:$F,0)),"")</f>
        <v>159</v>
      </c>
      <c r="AH10" s="460" t="str">
        <f t="shared" si="2"/>
        <v>Elmo Lageda</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hidden="1" x14ac:dyDescent="0.2">
      <c r="A11" s="550">
        <v>5</v>
      </c>
      <c r="B11" s="581"/>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58">
        <f t="shared" si="0"/>
        <v>0</v>
      </c>
      <c r="AE11" s="459" t="str">
        <f>IFERROR(INDEX(Reit!$I:$I,MATCH(AF11,Reit!$F:$F,0)),"")</f>
        <v/>
      </c>
      <c r="AF11" s="460" t="str">
        <f t="shared" si="1"/>
        <v/>
      </c>
      <c r="AG11" s="459" t="str">
        <f>IFERROR(INDEX(Reit!$I:$I,MATCH(AH11,Reit!$F:$F,0)),"")</f>
        <v/>
      </c>
      <c r="AH11" s="460" t="str">
        <f t="shared" si="2"/>
        <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hidden="1" x14ac:dyDescent="0.2">
      <c r="A12" s="592"/>
      <c r="B12" s="593"/>
      <c r="C12" s="594"/>
      <c r="D12" s="595"/>
      <c r="E12" s="594"/>
      <c r="F12" s="596"/>
      <c r="G12" s="597"/>
      <c r="H12" s="598"/>
      <c r="I12" s="405"/>
      <c r="J12" s="584"/>
      <c r="K12" s="584"/>
      <c r="L12" s="584"/>
      <c r="M12" s="584"/>
      <c r="N12" s="584"/>
      <c r="O12" s="584"/>
      <c r="P12" s="584"/>
      <c r="Q12" s="584"/>
      <c r="R12" s="588" t="s">
        <v>311</v>
      </c>
      <c r="S12" s="584"/>
      <c r="T12" s="584"/>
      <c r="U12" s="584"/>
      <c r="AD12" s="458">
        <f t="shared" si="0"/>
        <v>0</v>
      </c>
      <c r="AE12" s="459" t="str">
        <f>IFERROR(INDEX(Reit!$I:$I,MATCH(AF12,Reit!$F:$F,0)),"")</f>
        <v/>
      </c>
      <c r="AF12" s="460" t="str">
        <f t="shared" si="1"/>
        <v/>
      </c>
      <c r="AG12" s="459" t="str">
        <f>IFERROR(INDEX(Reit!$I:$I,MATCH(AH12,Reit!$F:$F,0)),"")</f>
        <v/>
      </c>
      <c r="AH12" s="460" t="str">
        <f t="shared" si="2"/>
        <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hidden="1" x14ac:dyDescent="0.2">
      <c r="A13" s="550" t="s">
        <v>201</v>
      </c>
      <c r="B13" s="551"/>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58">
        <f t="shared" si="0"/>
        <v>0</v>
      </c>
      <c r="AE13" s="459" t="str">
        <f>IFERROR(INDEX(Reit!$I:$I,MATCH(AF13,Reit!$F:$F,0)),"")</f>
        <v/>
      </c>
      <c r="AF13" s="460" t="str">
        <f t="shared" si="1"/>
        <v/>
      </c>
      <c r="AG13" s="459" t="str">
        <f>IFERROR(INDEX(Reit!$I:$I,MATCH(AH13,Reit!$F:$F,0)),"")</f>
        <v/>
      </c>
      <c r="AH13" s="460" t="str">
        <f t="shared" si="2"/>
        <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hidden="1" x14ac:dyDescent="0.2">
      <c r="A14" s="550">
        <v>1</v>
      </c>
      <c r="B14" s="534" t="s">
        <v>263</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58">
        <f t="shared" ca="1" si="0"/>
        <v>285</v>
      </c>
      <c r="AE14" s="459">
        <f ca="1">IFERROR(INDEX(Reit!$I:$I,MATCH(AF14,Reit!$F:$F,0)),"")</f>
        <v>74</v>
      </c>
      <c r="AF14" s="460" t="str">
        <f t="shared" si="1"/>
        <v>Johannes Neiland</v>
      </c>
      <c r="AG14" s="459">
        <f ca="1">IFERROR(INDEX(Reit!$I:$I,MATCH(AH14,Reit!$F:$F,0)),"")</f>
        <v>211</v>
      </c>
      <c r="AH14" s="460" t="str">
        <f t="shared" si="2"/>
        <v>Kaspar Mänd</v>
      </c>
      <c r="AI14" s="459" t="str">
        <f>IFERROR(INDEX(Reit!$I:$I,MATCH(AJ14,Reit!$F:$F,0)),"")</f>
        <v/>
      </c>
      <c r="AJ14" s="460" t="str">
        <f t="shared" si="3"/>
        <v/>
      </c>
      <c r="AK14" s="459" t="str">
        <f>IFERROR(INDEX(Reit!$I:$I,MATCH(AL14,Reit!$F:$F,0)),"")</f>
        <v/>
      </c>
      <c r="AL14" s="460" t="str">
        <f t="shared" si="4"/>
        <v/>
      </c>
      <c r="AM14" s="459" t="str">
        <f>IFERROR(INDEX(Reit!$I:$I,MATCH(AN14,Reit!$F:$F,0)),"")</f>
        <v/>
      </c>
      <c r="AN14" s="460" t="str">
        <f t="shared" si="5"/>
        <v/>
      </c>
      <c r="AO14" s="459" t="str">
        <f>IFERROR(INDEX(Reit!$I:$I,MATCH(AP14,Reit!$F:$F,0)),"")</f>
        <v/>
      </c>
      <c r="AP14" s="460" t="str">
        <f t="shared" si="6"/>
        <v/>
      </c>
    </row>
    <row r="15" spans="1:42" hidden="1" x14ac:dyDescent="0.2">
      <c r="A15" s="550">
        <v>2</v>
      </c>
      <c r="B15" s="561" t="s">
        <v>269</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58">
        <f t="shared" ca="1" si="0"/>
        <v>474</v>
      </c>
      <c r="AE15" s="459">
        <f ca="1">IFERROR(INDEX(Reit!$I:$I,MATCH(AF15,Reit!$F:$F,0)),"")</f>
        <v>272</v>
      </c>
      <c r="AF15" s="460" t="str">
        <f t="shared" si="1"/>
        <v>Ivar Viljaste</v>
      </c>
      <c r="AG15" s="459">
        <f ca="1">IFERROR(INDEX(Reit!$I:$I,MATCH(AH15,Reit!$F:$F,0)),"")</f>
        <v>202</v>
      </c>
      <c r="AH15" s="460" t="str">
        <f t="shared" si="2"/>
        <v>Kristo Viljaste</v>
      </c>
      <c r="AI15" s="459" t="str">
        <f>IFERROR(INDEX(Reit!$I:$I,MATCH(AJ15,Reit!$F:$F,0)),"")</f>
        <v/>
      </c>
      <c r="AJ15" s="460" t="str">
        <f t="shared" si="3"/>
        <v/>
      </c>
      <c r="AK15" s="459" t="str">
        <f>IFERROR(INDEX(Reit!$I:$I,MATCH(AL15,Reit!$F:$F,0)),"")</f>
        <v/>
      </c>
      <c r="AL15" s="460" t="str">
        <f t="shared" si="4"/>
        <v/>
      </c>
      <c r="AM15" s="459" t="str">
        <f>IFERROR(INDEX(Reit!$I:$I,MATCH(AN15,Reit!$F:$F,0)),"")</f>
        <v/>
      </c>
      <c r="AN15" s="460" t="str">
        <f t="shared" si="5"/>
        <v/>
      </c>
      <c r="AO15" s="459" t="str">
        <f>IFERROR(INDEX(Reit!$I:$I,MATCH(AP15,Reit!$F:$F,0)),"")</f>
        <v/>
      </c>
      <c r="AP15" s="460" t="str">
        <f t="shared" si="6"/>
        <v/>
      </c>
    </row>
    <row r="16" spans="1:42" hidden="1" x14ac:dyDescent="0.2">
      <c r="A16" s="550">
        <v>3</v>
      </c>
      <c r="B16" s="576" t="s">
        <v>251</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58">
        <f t="shared" ca="1" si="0"/>
        <v>334</v>
      </c>
      <c r="AE16" s="459">
        <f ca="1">IFERROR(INDEX(Reit!$I:$I,MATCH(AF16,Reit!$F:$F,0)),"")</f>
        <v>178</v>
      </c>
      <c r="AF16" s="460" t="str">
        <f t="shared" si="1"/>
        <v>Meelis Luud</v>
      </c>
      <c r="AG16" s="459">
        <f ca="1">IFERROR(INDEX(Reit!$I:$I,MATCH(AH16,Reit!$F:$F,0)),"")</f>
        <v>156</v>
      </c>
      <c r="AH16" s="460" t="str">
        <f t="shared" si="2"/>
        <v>Sander Rose</v>
      </c>
      <c r="AI16" s="459" t="str">
        <f>IFERROR(INDEX(Reit!$I:$I,MATCH(AJ16,Reit!$F:$F,0)),"")</f>
        <v/>
      </c>
      <c r="AJ16" s="460" t="str">
        <f t="shared" si="3"/>
        <v/>
      </c>
      <c r="AK16" s="459" t="str">
        <f>IFERROR(INDEX(Reit!$I:$I,MATCH(AL16,Reit!$F:$F,0)),"")</f>
        <v/>
      </c>
      <c r="AL16" s="460" t="str">
        <f t="shared" si="4"/>
        <v/>
      </c>
      <c r="AM16" s="459" t="str">
        <f>IFERROR(INDEX(Reit!$I:$I,MATCH(AN16,Reit!$F:$F,0)),"")</f>
        <v/>
      </c>
      <c r="AN16" s="460" t="str">
        <f t="shared" si="5"/>
        <v/>
      </c>
      <c r="AO16" s="459" t="str">
        <f>IFERROR(INDEX(Reit!$I:$I,MATCH(AP16,Reit!$F:$F,0)),"")</f>
        <v/>
      </c>
      <c r="AP16" s="460" t="str">
        <f t="shared" si="6"/>
        <v/>
      </c>
    </row>
    <row r="17" spans="1:42" hidden="1" x14ac:dyDescent="0.2">
      <c r="A17" s="550">
        <v>4</v>
      </c>
      <c r="B17" s="581" t="s">
        <v>259</v>
      </c>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0.01</v>
      </c>
      <c r="T17" s="575" t="str">
        <f>Q17&amp;J17</f>
        <v>00</v>
      </c>
      <c r="U17" s="584"/>
      <c r="AD17" s="458">
        <f t="shared" ca="1" si="0"/>
        <v>110</v>
      </c>
      <c r="AE17" s="459">
        <f ca="1">IFERROR(INDEX(Reit!$I:$I,MATCH(AF17,Reit!$F:$F,0)),"")</f>
        <v>18</v>
      </c>
      <c r="AF17" s="460" t="str">
        <f t="shared" si="1"/>
        <v>Karla Purgats</v>
      </c>
      <c r="AG17" s="459">
        <f ca="1">IFERROR(INDEX(Reit!$I:$I,MATCH(AH17,Reit!$F:$F,0)),"")</f>
        <v>92</v>
      </c>
      <c r="AH17" s="460" t="str">
        <f t="shared" si="2"/>
        <v>Lemmit Toomra</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hidden="1" x14ac:dyDescent="0.2">
      <c r="A18" s="550">
        <v>5</v>
      </c>
      <c r="B18" s="581"/>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58">
        <f t="shared" si="0"/>
        <v>0</v>
      </c>
      <c r="AE18" s="459" t="str">
        <f>IFERROR(INDEX(Reit!$I:$I,MATCH(AF18,Reit!$F:$F,0)),"")</f>
        <v/>
      </c>
      <c r="AF18" s="460" t="str">
        <f t="shared" si="1"/>
        <v/>
      </c>
      <c r="AG18" s="459" t="str">
        <f>IFERROR(INDEX(Reit!$I:$I,MATCH(AH18,Reit!$F:$F,0)),"")</f>
        <v/>
      </c>
      <c r="AH18" s="460" t="str">
        <f t="shared" si="2"/>
        <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19" s="592"/>
      <c r="B19" s="593"/>
      <c r="C19" s="594"/>
      <c r="D19" s="595"/>
      <c r="E19" s="594"/>
      <c r="F19" s="596"/>
      <c r="G19" s="597"/>
      <c r="H19" s="598"/>
      <c r="I19" s="614"/>
      <c r="J19" s="584"/>
      <c r="K19" s="584"/>
      <c r="L19" s="584"/>
      <c r="M19" s="584"/>
      <c r="N19" s="584"/>
      <c r="O19" s="584"/>
      <c r="P19" s="584"/>
      <c r="Q19" s="584"/>
      <c r="R19" s="588" t="s">
        <v>311</v>
      </c>
      <c r="S19" s="584"/>
      <c r="T19" s="584"/>
      <c r="U19" s="584"/>
      <c r="AD19" s="458">
        <f t="shared" ref="AD19:AD33" si="7">SUM(AE19:AL19)</f>
        <v>0</v>
      </c>
      <c r="AE19" s="459" t="str">
        <f>IFERROR(INDEX(Reit!$I:$I,MATCH(AF19,Reit!$F:$F,0)),"")</f>
        <v/>
      </c>
      <c r="AF19" s="460" t="str">
        <f t="shared" si="1"/>
        <v/>
      </c>
      <c r="AG19" s="459" t="str">
        <f>IFERROR(INDEX(Reit!$I:$I,MATCH(AH19,Reit!$F:$F,0)),"")</f>
        <v/>
      </c>
      <c r="AH19" s="460" t="str">
        <f t="shared" si="2"/>
        <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hidden="1" x14ac:dyDescent="0.2">
      <c r="A20" s="550" t="s">
        <v>202</v>
      </c>
      <c r="B20" s="551"/>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58">
        <f t="shared" si="7"/>
        <v>0</v>
      </c>
      <c r="AE20" s="459" t="str">
        <f>IFERROR(INDEX(Reit!$I:$I,MATCH(AF20,Reit!$F:$F,0)),"")</f>
        <v/>
      </c>
      <c r="AF20" s="460" t="str">
        <f t="shared" si="1"/>
        <v/>
      </c>
      <c r="AG20" s="459" t="str">
        <f>IFERROR(INDEX(Reit!$I:$I,MATCH(AH20,Reit!$F:$F,0)),"")</f>
        <v/>
      </c>
      <c r="AH20" s="460" t="str">
        <f t="shared" si="2"/>
        <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A21" s="550">
        <v>1</v>
      </c>
      <c r="B21" s="561" t="s">
        <v>443</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58">
        <f t="shared" ca="1" si="7"/>
        <v>279</v>
      </c>
      <c r="AE21" s="459">
        <f ca="1">IFERROR(INDEX(Reit!$I:$I,MATCH(AF21,Reit!$F:$F,0)),"")</f>
        <v>149</v>
      </c>
      <c r="AF21" s="460" t="str">
        <f t="shared" si="1"/>
        <v>Ljudmila Varendi</v>
      </c>
      <c r="AG21" s="459">
        <f ca="1">IFERROR(INDEX(Reit!$I:$I,MATCH(AH21,Reit!$F:$F,0)),"")</f>
        <v>130</v>
      </c>
      <c r="AH21" s="460" t="str">
        <f t="shared" si="2"/>
        <v>Marta Bernat</v>
      </c>
      <c r="AI21" s="459" t="str">
        <f>IFERROR(INDEX(Reit!$I:$I,MATCH(AJ21,Reit!$F:$F,0)),"")</f>
        <v/>
      </c>
      <c r="AJ21" s="460" t="str">
        <f t="shared" si="3"/>
        <v/>
      </c>
      <c r="AK21" s="459" t="str">
        <f>IFERROR(INDEX(Reit!$I:$I,MATCH(AL21,Reit!$F:$F,0)),"")</f>
        <v/>
      </c>
      <c r="AL21" s="460" t="str">
        <f t="shared" si="4"/>
        <v/>
      </c>
      <c r="AM21" s="459" t="str">
        <f>IFERROR(INDEX(Reit!$I:$I,MATCH(AN21,Reit!$F:$F,0)),"")</f>
        <v/>
      </c>
      <c r="AN21" s="460" t="str">
        <f t="shared" si="5"/>
        <v/>
      </c>
      <c r="AO21" s="459" t="str">
        <f>IFERROR(INDEX(Reit!$I:$I,MATCH(AP21,Reit!$F:$F,0)),"")</f>
        <v/>
      </c>
      <c r="AP21" s="460" t="str">
        <f t="shared" si="6"/>
        <v/>
      </c>
    </row>
    <row r="22" spans="1:42" hidden="1" x14ac:dyDescent="0.2">
      <c r="A22" s="550">
        <v>2</v>
      </c>
      <c r="B22" s="576" t="s">
        <v>444</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58">
        <f t="shared" ca="1" si="7"/>
        <v>206</v>
      </c>
      <c r="AE22" s="459">
        <f ca="1">IFERROR(INDEX(Reit!$I:$I,MATCH(AF22,Reit!$F:$F,0)),"")</f>
        <v>174</v>
      </c>
      <c r="AF22" s="460" t="str">
        <f t="shared" si="1"/>
        <v>Andrei Grintšak</v>
      </c>
      <c r="AG22" s="459">
        <f ca="1">IFERROR(INDEX(Reit!$I:$I,MATCH(AH22,Reit!$F:$F,0)),"")</f>
        <v>32</v>
      </c>
      <c r="AH22" s="460" t="str">
        <f t="shared" si="2"/>
        <v>Emil Murzajev</v>
      </c>
      <c r="AI22" s="459" t="str">
        <f>IFERROR(INDEX(Reit!$I:$I,MATCH(AJ22,Reit!$F:$F,0)),"")</f>
        <v/>
      </c>
      <c r="AJ22" s="460" t="str">
        <f t="shared" si="3"/>
        <v/>
      </c>
      <c r="AK22" s="459" t="str">
        <f>IFERROR(INDEX(Reit!$I:$I,MATCH(AL22,Reit!$F:$F,0)),"")</f>
        <v/>
      </c>
      <c r="AL22" s="460" t="str">
        <f t="shared" si="4"/>
        <v/>
      </c>
      <c r="AM22" s="459" t="str">
        <f>IFERROR(INDEX(Reit!$I:$I,MATCH(AN22,Reit!$F:$F,0)),"")</f>
        <v/>
      </c>
      <c r="AN22" s="460" t="str">
        <f t="shared" si="5"/>
        <v/>
      </c>
      <c r="AO22" s="459" t="str">
        <f>IFERROR(INDEX(Reit!$I:$I,MATCH(AP22,Reit!$F:$F,0)),"")</f>
        <v/>
      </c>
      <c r="AP22" s="460" t="str">
        <f t="shared" si="6"/>
        <v/>
      </c>
    </row>
    <row r="23" spans="1:42" hidden="1" x14ac:dyDescent="0.2">
      <c r="A23" s="550">
        <v>3</v>
      </c>
      <c r="B23" s="576" t="s">
        <v>252</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58">
        <f t="shared" ca="1" si="7"/>
        <v>106</v>
      </c>
      <c r="AE23" s="459">
        <f ca="1">IFERROR(INDEX(Reit!$I:$I,MATCH(AF23,Reit!$F:$F,0)),"")</f>
        <v>68</v>
      </c>
      <c r="AF23" s="460" t="str">
        <f t="shared" si="1"/>
        <v>Enn Tokman</v>
      </c>
      <c r="AG23" s="459">
        <f ca="1">IFERROR(INDEX(Reit!$I:$I,MATCH(AH23,Reit!$F:$F,0)),"")</f>
        <v>38</v>
      </c>
      <c r="AH23" s="460" t="str">
        <f t="shared" si="2"/>
        <v>Tarmo Bombe</v>
      </c>
      <c r="AI23" s="459" t="str">
        <f>IFERROR(INDEX(Reit!$I:$I,MATCH(AJ23,Reit!$F:$F,0)),"")</f>
        <v/>
      </c>
      <c r="AJ23" s="460" t="str">
        <f t="shared" si="3"/>
        <v/>
      </c>
      <c r="AK23" s="459" t="str">
        <f>IFERROR(INDEX(Reit!$I:$I,MATCH(AL23,Reit!$F:$F,0)),"")</f>
        <v/>
      </c>
      <c r="AL23" s="460" t="str">
        <f t="shared" si="4"/>
        <v/>
      </c>
      <c r="AM23" s="459" t="str">
        <f>IFERROR(INDEX(Reit!$I:$I,MATCH(AN23,Reit!$F:$F,0)),"")</f>
        <v/>
      </c>
      <c r="AN23" s="460" t="str">
        <f t="shared" si="5"/>
        <v/>
      </c>
      <c r="AO23" s="459" t="str">
        <f>IFERROR(INDEX(Reit!$I:$I,MATCH(AP23,Reit!$F:$F,0)),"")</f>
        <v/>
      </c>
      <c r="AP23" s="460" t="str">
        <f t="shared" si="6"/>
        <v/>
      </c>
    </row>
    <row r="24" spans="1:42" hidden="1" x14ac:dyDescent="0.2">
      <c r="A24" s="550">
        <v>4</v>
      </c>
      <c r="B24" s="576"/>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c r="AD24" s="458">
        <f t="shared" si="7"/>
        <v>0</v>
      </c>
      <c r="AE24" s="459" t="str">
        <f>IFERROR(INDEX(Reit!$I:$I,MATCH(AF24,Reit!$F:$F,0)),"")</f>
        <v/>
      </c>
      <c r="AF24" s="460" t="str">
        <f t="shared" si="1"/>
        <v/>
      </c>
      <c r="AG24" s="459" t="str">
        <f>IFERROR(INDEX(Reit!$I:$I,MATCH(AH24,Reit!$F:$F,0)),"")</f>
        <v/>
      </c>
      <c r="AH24" s="460" t="str">
        <f t="shared" si="2"/>
        <v/>
      </c>
      <c r="AI24" s="459" t="str">
        <f>IFERROR(INDEX(Reit!$I:$I,MATCH(AJ24,Reit!$F:$F,0)),"")</f>
        <v/>
      </c>
      <c r="AJ24" s="460" t="str">
        <f t="shared" si="3"/>
        <v/>
      </c>
      <c r="AK24" s="459" t="str">
        <f>IFERROR(INDEX(Reit!$I:$I,MATCH(AL24,Reit!$F:$F,0)),"")</f>
        <v/>
      </c>
      <c r="AL24" s="460" t="str">
        <f t="shared" si="4"/>
        <v/>
      </c>
      <c r="AM24" s="459" t="str">
        <f>IFERROR(INDEX(Reit!$I:$I,MATCH(AN24,Reit!$F:$F,0)),"")</f>
        <v/>
      </c>
      <c r="AN24" s="460" t="str">
        <f t="shared" si="5"/>
        <v/>
      </c>
      <c r="AO24" s="459" t="str">
        <f>IFERROR(INDEX(Reit!$I:$I,MATCH(AP24,Reit!$F:$F,0)),"")</f>
        <v/>
      </c>
      <c r="AP24" s="460" t="str">
        <f t="shared" si="6"/>
        <v/>
      </c>
    </row>
    <row r="25" spans="1:42" hidden="1" x14ac:dyDescent="0.2">
      <c r="A25" s="550">
        <v>5</v>
      </c>
      <c r="B25" s="581"/>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c r="AD25" s="458">
        <f t="shared" si="7"/>
        <v>0</v>
      </c>
      <c r="AE25" s="459" t="str">
        <f>IFERROR(INDEX(Reit!$I:$I,MATCH(AF25,Reit!$F:$F,0)),"")</f>
        <v/>
      </c>
      <c r="AF25" s="460" t="str">
        <f t="shared" si="1"/>
        <v/>
      </c>
      <c r="AG25" s="459" t="str">
        <f>IFERROR(INDEX(Reit!$I:$I,MATCH(AH25,Reit!$F:$F,0)),"")</f>
        <v/>
      </c>
      <c r="AH25" s="460" t="str">
        <f t="shared" si="2"/>
        <v/>
      </c>
      <c r="AI25" s="459" t="str">
        <f>IFERROR(INDEX(Reit!$I:$I,MATCH(AJ25,Reit!$F:$F,0)),"")</f>
        <v/>
      </c>
      <c r="AJ25" s="460" t="str">
        <f t="shared" si="3"/>
        <v/>
      </c>
      <c r="AK25" s="459" t="str">
        <f>IFERROR(INDEX(Reit!$I:$I,MATCH(AL25,Reit!$F:$F,0)),"")</f>
        <v/>
      </c>
      <c r="AL25" s="460" t="str">
        <f t="shared" si="4"/>
        <v/>
      </c>
      <c r="AM25" s="459" t="str">
        <f>IFERROR(INDEX(Reit!$I:$I,MATCH(AN25,Reit!$F:$F,0)),"")</f>
        <v/>
      </c>
      <c r="AN25" s="460" t="str">
        <f t="shared" si="5"/>
        <v/>
      </c>
      <c r="AO25" s="459" t="str">
        <f>IFERROR(INDEX(Reit!$I:$I,MATCH(AP25,Reit!$F:$F,0)),"")</f>
        <v/>
      </c>
      <c r="AP25" s="460" t="str">
        <f t="shared" si="6"/>
        <v/>
      </c>
    </row>
    <row r="26" spans="1:42" hidden="1" x14ac:dyDescent="0.2">
      <c r="A26" s="615"/>
      <c r="B26" s="587"/>
      <c r="C26" s="597"/>
      <c r="D26" s="597"/>
      <c r="E26" s="597"/>
      <c r="F26" s="616"/>
      <c r="G26" s="616"/>
      <c r="H26" s="617"/>
      <c r="I26" s="587"/>
      <c r="J26" s="584"/>
      <c r="K26" s="584"/>
      <c r="L26" s="584"/>
      <c r="M26" s="584"/>
      <c r="N26" s="584"/>
      <c r="O26" s="584"/>
      <c r="P26" s="584"/>
      <c r="Q26" s="584"/>
      <c r="R26" s="588" t="s">
        <v>311</v>
      </c>
      <c r="S26" s="584"/>
      <c r="T26" s="584"/>
      <c r="U26" s="584"/>
      <c r="AD26" s="458">
        <f t="shared" si="7"/>
        <v>0</v>
      </c>
      <c r="AE26" s="459" t="str">
        <f>IFERROR(INDEX(Reit!$I:$I,MATCH(AF26,Reit!$F:$F,0)),"")</f>
        <v/>
      </c>
      <c r="AF26" s="460" t="str">
        <f t="shared" si="1"/>
        <v/>
      </c>
      <c r="AG26" s="459" t="str">
        <f>IFERROR(INDEX(Reit!$I:$I,MATCH(AH26,Reit!$F:$F,0)),"")</f>
        <v/>
      </c>
      <c r="AH26" s="460" t="str">
        <f t="shared" si="2"/>
        <v/>
      </c>
      <c r="AI26" s="459" t="str">
        <f>IFERROR(INDEX(Reit!$I:$I,MATCH(AJ26,Reit!$F:$F,0)),"")</f>
        <v/>
      </c>
      <c r="AJ26" s="460" t="str">
        <f t="shared" si="3"/>
        <v/>
      </c>
      <c r="AK26" s="459" t="str">
        <f>IFERROR(INDEX(Reit!$I:$I,MATCH(AL26,Reit!$F:$F,0)),"")</f>
        <v/>
      </c>
      <c r="AL26" s="460" t="str">
        <f t="shared" si="4"/>
        <v/>
      </c>
      <c r="AM26" s="459" t="str">
        <f>IFERROR(INDEX(Reit!$I:$I,MATCH(AN26,Reit!$F:$F,0)),"")</f>
        <v/>
      </c>
      <c r="AN26" s="460" t="str">
        <f t="shared" si="5"/>
        <v/>
      </c>
      <c r="AO26" s="459" t="str">
        <f>IFERROR(INDEX(Reit!$I:$I,MATCH(AP26,Reit!$F:$F,0)),"")</f>
        <v/>
      </c>
      <c r="AP26" s="460" t="str">
        <f t="shared" si="6"/>
        <v/>
      </c>
    </row>
    <row r="27" spans="1:42" hidden="1" x14ac:dyDescent="0.2">
      <c r="A27" s="550" t="s">
        <v>203</v>
      </c>
      <c r="B27" s="551"/>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58">
        <f t="shared" si="7"/>
        <v>0</v>
      </c>
      <c r="AE27" s="459" t="str">
        <f>IFERROR(INDEX(Reit!$I:$I,MATCH(AF27,Reit!$F:$F,0)),"")</f>
        <v/>
      </c>
      <c r="AF27" s="460" t="str">
        <f t="shared" si="1"/>
        <v/>
      </c>
      <c r="AG27" s="459" t="str">
        <f>IFERROR(INDEX(Reit!$I:$I,MATCH(AH27,Reit!$F:$F,0)),"")</f>
        <v/>
      </c>
      <c r="AH27" s="460" t="str">
        <f t="shared" si="2"/>
        <v/>
      </c>
      <c r="AI27" s="459" t="str">
        <f>IFERROR(INDEX(Reit!$I:$I,MATCH(AJ27,Reit!$F:$F,0)),"")</f>
        <v/>
      </c>
      <c r="AJ27" s="460" t="str">
        <f t="shared" si="3"/>
        <v/>
      </c>
      <c r="AK27" s="459" t="str">
        <f>IFERROR(INDEX(Reit!$I:$I,MATCH(AL27,Reit!$F:$F,0)),"")</f>
        <v/>
      </c>
      <c r="AL27" s="460" t="str">
        <f t="shared" si="4"/>
        <v/>
      </c>
      <c r="AM27" s="459" t="str">
        <f>IFERROR(INDEX(Reit!$I:$I,MATCH(AN27,Reit!$F:$F,0)),"")</f>
        <v/>
      </c>
      <c r="AN27" s="460" t="str">
        <f t="shared" si="5"/>
        <v/>
      </c>
      <c r="AO27" s="459" t="str">
        <f>IFERROR(INDEX(Reit!$I:$I,MATCH(AP27,Reit!$F:$F,0)),"")</f>
        <v/>
      </c>
      <c r="AP27" s="460" t="str">
        <f t="shared" si="6"/>
        <v/>
      </c>
    </row>
    <row r="28" spans="1:42" hidden="1" x14ac:dyDescent="0.2">
      <c r="A28" s="550">
        <v>1</v>
      </c>
      <c r="B28" s="618" t="s">
        <v>255</v>
      </c>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0.01</v>
      </c>
      <c r="T28" s="575" t="str">
        <f>Q28&amp;J28</f>
        <v>00</v>
      </c>
      <c r="U28" s="584"/>
      <c r="AD28" s="458">
        <f t="shared" ca="1" si="7"/>
        <v>403</v>
      </c>
      <c r="AE28" s="459">
        <f ca="1">IFERROR(INDEX(Reit!$I:$I,MATCH(AF28,Reit!$F:$F,0)),"")</f>
        <v>197</v>
      </c>
      <c r="AF28" s="460" t="str">
        <f t="shared" si="1"/>
        <v>Andres Veski</v>
      </c>
      <c r="AG28" s="459">
        <f ca="1">IFERROR(INDEX(Reit!$I:$I,MATCH(AH28,Reit!$F:$F,0)),"")</f>
        <v>206</v>
      </c>
      <c r="AH28" s="460" t="str">
        <f t="shared" si="2"/>
        <v>Svetlana Veski</v>
      </c>
      <c r="AI28" s="459" t="str">
        <f>IFERROR(INDEX(Reit!$I:$I,MATCH(AJ28,Reit!$F:$F,0)),"")</f>
        <v/>
      </c>
      <c r="AJ28" s="460" t="str">
        <f t="shared" si="3"/>
        <v/>
      </c>
      <c r="AK28" s="459" t="str">
        <f>IFERROR(INDEX(Reit!$I:$I,MATCH(AL28,Reit!$F:$F,0)),"")</f>
        <v/>
      </c>
      <c r="AL28" s="460" t="str">
        <f t="shared" si="4"/>
        <v/>
      </c>
      <c r="AM28" s="459" t="str">
        <f>IFERROR(INDEX(Reit!$I:$I,MATCH(AN28,Reit!$F:$F,0)),"")</f>
        <v/>
      </c>
      <c r="AN28" s="460" t="str">
        <f t="shared" si="5"/>
        <v/>
      </c>
      <c r="AO28" s="459" t="str">
        <f>IFERROR(INDEX(Reit!$I:$I,MATCH(AP28,Reit!$F:$F,0)),"")</f>
        <v/>
      </c>
      <c r="AP28" s="460" t="str">
        <f t="shared" si="6"/>
        <v/>
      </c>
    </row>
    <row r="29" spans="1:42" hidden="1" x14ac:dyDescent="0.2">
      <c r="A29" s="550">
        <v>2</v>
      </c>
      <c r="B29" s="576" t="s">
        <v>257</v>
      </c>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0.01</v>
      </c>
      <c r="T29" s="575" t="str">
        <f>Q29&amp;J29</f>
        <v>00</v>
      </c>
      <c r="U29" s="584"/>
      <c r="AD29" s="458">
        <f t="shared" ca="1" si="7"/>
        <v>132</v>
      </c>
      <c r="AE29" s="459">
        <f ca="1">IFERROR(INDEX(Reit!$I:$I,MATCH(AF29,Reit!$F:$F,0)),"")</f>
        <v>44</v>
      </c>
      <c r="AF29" s="460" t="str">
        <f t="shared" si="1"/>
        <v>Illar Tõnurist</v>
      </c>
      <c r="AG29" s="459">
        <f ca="1">IFERROR(INDEX(Reit!$I:$I,MATCH(AH29,Reit!$F:$F,0)),"")</f>
        <v>88</v>
      </c>
      <c r="AH29" s="460" t="str">
        <f t="shared" si="2"/>
        <v>Jaan Saar</v>
      </c>
      <c r="AI29" s="459" t="str">
        <f>IFERROR(INDEX(Reit!$I:$I,MATCH(AJ29,Reit!$F:$F,0)),"")</f>
        <v/>
      </c>
      <c r="AJ29" s="460" t="str">
        <f t="shared" si="3"/>
        <v/>
      </c>
      <c r="AK29" s="459" t="str">
        <f>IFERROR(INDEX(Reit!$I:$I,MATCH(AL29,Reit!$F:$F,0)),"")</f>
        <v/>
      </c>
      <c r="AL29" s="460" t="str">
        <f t="shared" si="4"/>
        <v/>
      </c>
      <c r="AM29" s="459" t="str">
        <f>IFERROR(INDEX(Reit!$I:$I,MATCH(AN29,Reit!$F:$F,0)),"")</f>
        <v/>
      </c>
      <c r="AN29" s="460" t="str">
        <f t="shared" si="5"/>
        <v/>
      </c>
      <c r="AO29" s="459" t="str">
        <f>IFERROR(INDEX(Reit!$I:$I,MATCH(AP29,Reit!$F:$F,0)),"")</f>
        <v/>
      </c>
      <c r="AP29" s="460" t="str">
        <f t="shared" si="6"/>
        <v/>
      </c>
    </row>
    <row r="30" spans="1:42" hidden="1" x14ac:dyDescent="0.2">
      <c r="A30" s="550">
        <v>3</v>
      </c>
      <c r="B30" s="576" t="s">
        <v>446</v>
      </c>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0.01</v>
      </c>
      <c r="T30" s="575" t="str">
        <f>Q30&amp;J30</f>
        <v>00</v>
      </c>
      <c r="U30" s="584"/>
      <c r="AD30" s="458">
        <f t="shared" ca="1" si="7"/>
        <v>179</v>
      </c>
      <c r="AE30" s="459">
        <f ca="1">IFERROR(INDEX(Reit!$I:$I,MATCH(AF30,Reit!$F:$F,0)),"")</f>
        <v>6</v>
      </c>
      <c r="AF30" s="460" t="str">
        <f t="shared" si="1"/>
        <v>Tõnis Anton</v>
      </c>
      <c r="AG30" s="459" t="str">
        <f>IFERROR(INDEX(Reit!$I:$I,MATCH(AH30,Reit!$F:$F,0)),"")</f>
        <v/>
      </c>
      <c r="AH30" s="460" t="str">
        <f t="shared" si="2"/>
        <v>Urmas Randlaine, Vladimir Ogneštšikov</v>
      </c>
      <c r="AI30" s="459">
        <f ca="1">IFERROR(INDEX(Reit!$I:$I,MATCH(AJ30,Reit!$F:$F,0)),"")</f>
        <v>79</v>
      </c>
      <c r="AJ30" s="460" t="str">
        <f t="shared" si="3"/>
        <v>Urmas Randlaine</v>
      </c>
      <c r="AK30" s="459">
        <f ca="1">IFERROR(INDEX(Reit!$I:$I,MATCH(AL30,Reit!$F:$F,0)),"")</f>
        <v>94</v>
      </c>
      <c r="AL30" s="460" t="str">
        <f t="shared" si="4"/>
        <v>Vladimir Ogneštšikov</v>
      </c>
      <c r="AM30" s="459" t="str">
        <f>IFERROR(INDEX(Reit!$I:$I,MATCH(AN30,Reit!$F:$F,0)),"")</f>
        <v/>
      </c>
      <c r="AN30" s="460" t="str">
        <f t="shared" si="5"/>
        <v/>
      </c>
      <c r="AO30" s="459" t="str">
        <f>IFERROR(INDEX(Reit!$I:$I,MATCH(AP30,Reit!$F:$F,0)),"")</f>
        <v/>
      </c>
      <c r="AP30" s="460" t="str">
        <f t="shared" si="6"/>
        <v/>
      </c>
    </row>
    <row r="31" spans="1:42" hidden="1" x14ac:dyDescent="0.2">
      <c r="A31" s="550">
        <v>4</v>
      </c>
      <c r="B31" s="581"/>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c r="AD31" s="458">
        <f t="shared" si="7"/>
        <v>0</v>
      </c>
      <c r="AE31" s="459" t="str">
        <f>IFERROR(INDEX(Reit!$I:$I,MATCH(AF31,Reit!$F:$F,0)),"")</f>
        <v/>
      </c>
      <c r="AF31" s="460" t="str">
        <f t="shared" si="1"/>
        <v/>
      </c>
      <c r="AG31" s="459" t="str">
        <f>IFERROR(INDEX(Reit!$I:$I,MATCH(AH31,Reit!$F:$F,0)),"")</f>
        <v/>
      </c>
      <c r="AH31" s="460" t="str">
        <f t="shared" si="2"/>
        <v/>
      </c>
      <c r="AI31" s="459" t="str">
        <f>IFERROR(INDEX(Reit!$I:$I,MATCH(AJ31,Reit!$F:$F,0)),"")</f>
        <v/>
      </c>
      <c r="AJ31" s="460" t="str">
        <f t="shared" si="3"/>
        <v/>
      </c>
      <c r="AK31" s="459" t="str">
        <f>IFERROR(INDEX(Reit!$I:$I,MATCH(AL31,Reit!$F:$F,0)),"")</f>
        <v/>
      </c>
      <c r="AL31" s="460" t="str">
        <f t="shared" si="4"/>
        <v/>
      </c>
      <c r="AM31" s="459" t="str">
        <f>IFERROR(INDEX(Reit!$I:$I,MATCH(AN31,Reit!$F:$F,0)),"")</f>
        <v/>
      </c>
      <c r="AN31" s="460" t="str">
        <f t="shared" si="5"/>
        <v/>
      </c>
      <c r="AO31" s="459" t="str">
        <f>IFERROR(INDEX(Reit!$I:$I,MATCH(AP31,Reit!$F:$F,0)),"")</f>
        <v/>
      </c>
      <c r="AP31" s="460" t="str">
        <f t="shared" si="6"/>
        <v/>
      </c>
    </row>
    <row r="32" spans="1:42" hidden="1" x14ac:dyDescent="0.2">
      <c r="A32" s="550">
        <v>5</v>
      </c>
      <c r="B32" s="581"/>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c r="AD32" s="458">
        <f t="shared" si="7"/>
        <v>0</v>
      </c>
      <c r="AE32" s="459" t="str">
        <f>IFERROR(INDEX(Reit!$I:$I,MATCH(AF32,Reit!$F:$F,0)),"")</f>
        <v/>
      </c>
      <c r="AF32" s="460" t="str">
        <f t="shared" si="1"/>
        <v/>
      </c>
      <c r="AG32" s="459" t="str">
        <f>IFERROR(INDEX(Reit!$I:$I,MATCH(AH32,Reit!$F:$F,0)),"")</f>
        <v/>
      </c>
      <c r="AH32" s="460" t="str">
        <f t="shared" si="2"/>
        <v/>
      </c>
      <c r="AI32" s="459" t="str">
        <f>IFERROR(INDEX(Reit!$I:$I,MATCH(AJ32,Reit!$F:$F,0)),"")</f>
        <v/>
      </c>
      <c r="AJ32" s="460" t="str">
        <f t="shared" si="3"/>
        <v/>
      </c>
      <c r="AK32" s="459" t="str">
        <f>IFERROR(INDEX(Reit!$I:$I,MATCH(AL32,Reit!$F:$F,0)),"")</f>
        <v/>
      </c>
      <c r="AL32" s="460" t="str">
        <f t="shared" si="4"/>
        <v/>
      </c>
      <c r="AM32" s="459" t="str">
        <f>IFERROR(INDEX(Reit!$I:$I,MATCH(AN32,Reit!$F:$F,0)),"")</f>
        <v/>
      </c>
      <c r="AN32" s="460" t="str">
        <f t="shared" si="5"/>
        <v/>
      </c>
      <c r="AO32" s="459" t="str">
        <f>IFERROR(INDEX(Reit!$I:$I,MATCH(AP32,Reit!$F:$F,0)),"")</f>
        <v/>
      </c>
      <c r="AP32" s="460" t="str">
        <f t="shared" si="6"/>
        <v/>
      </c>
    </row>
    <row r="33" spans="1:42"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c r="AD33" s="458">
        <f t="shared" si="7"/>
        <v>0</v>
      </c>
      <c r="AE33" s="459" t="str">
        <f>IFERROR(INDEX(Reit!$I:$I,MATCH(AF33,Reit!$F:$F,0)),"")</f>
        <v/>
      </c>
      <c r="AF33" s="460" t="str">
        <f t="shared" si="1"/>
        <v/>
      </c>
      <c r="AG33" s="459" t="str">
        <f>IFERROR(INDEX(Reit!$I:$I,MATCH(AH33,Reit!$F:$F,0)),"")</f>
        <v/>
      </c>
      <c r="AH33" s="460" t="str">
        <f t="shared" si="2"/>
        <v/>
      </c>
      <c r="AI33" s="459" t="str">
        <f>IFERROR(INDEX(Reit!$I:$I,MATCH(AJ33,Reit!$F:$F,0)),"")</f>
        <v/>
      </c>
      <c r="AJ33" s="460" t="str">
        <f t="shared" si="3"/>
        <v/>
      </c>
      <c r="AK33" s="459" t="str">
        <f>IFERROR(INDEX(Reit!$I:$I,MATCH(AL33,Reit!$F:$F,0)),"")</f>
        <v/>
      </c>
      <c r="AL33" s="460" t="str">
        <f t="shared" si="4"/>
        <v/>
      </c>
      <c r="AM33" s="459" t="str">
        <f>IFERROR(INDEX(Reit!$I:$I,MATCH(AN33,Reit!$F:$F,0)),"")</f>
        <v/>
      </c>
      <c r="AN33" s="460" t="str">
        <f t="shared" si="5"/>
        <v/>
      </c>
      <c r="AO33" s="459" t="str">
        <f>IFERROR(INDEX(Reit!$I:$I,MATCH(AP33,Reit!$F:$F,0)),"")</f>
        <v/>
      </c>
      <c r="AP33" s="460" t="str">
        <f t="shared" si="6"/>
        <v/>
      </c>
    </row>
    <row r="34" spans="1:42" hidden="1" x14ac:dyDescent="0.2">
      <c r="P34" s="589" t="s">
        <v>294</v>
      </c>
      <c r="Q34" s="558" t="s">
        <v>183</v>
      </c>
      <c r="R34" s="558" t="b">
        <f>OR(AND(COUNTA(B35:B39)=3,COUNTA(C35:G39)=6),AND(COUNTA(B35:B39)=4,COUNTA(C35:G39)=12),AND(COUNTA(B35:B39)=5,COUNTA(C35:G39)=20))</f>
        <v>0</v>
      </c>
      <c r="S34" s="559" t="s">
        <v>295</v>
      </c>
      <c r="T34" s="560" t="s">
        <v>296</v>
      </c>
      <c r="U34" s="584"/>
    </row>
    <row r="35" spans="1:42"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42"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42"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42"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42"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42" hidden="1" x14ac:dyDescent="0.2">
      <c r="P40" s="584"/>
      <c r="Q40" s="584"/>
      <c r="R40" s="588" t="s">
        <v>311</v>
      </c>
      <c r="S40" s="584"/>
      <c r="T40" s="584"/>
      <c r="U40" s="584"/>
    </row>
    <row r="41" spans="1:42" hidden="1" x14ac:dyDescent="0.2">
      <c r="P41" s="589" t="s">
        <v>294</v>
      </c>
      <c r="Q41" s="558" t="s">
        <v>183</v>
      </c>
      <c r="R41" s="558" t="b">
        <f>OR(AND(COUNTA(B42:B46)=3,COUNTA(C42:G46)=6),AND(COUNTA(B42:B46)=4,COUNTA(C42:G46)=12),AND(COUNTA(B42:B46)=5,COUNTA(C42:G46)=20))</f>
        <v>0</v>
      </c>
      <c r="S41" s="559" t="s">
        <v>295</v>
      </c>
      <c r="T41" s="560" t="s">
        <v>296</v>
      </c>
      <c r="U41" s="584"/>
    </row>
    <row r="42" spans="1:42"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42"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42"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42"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42"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42" hidden="1" x14ac:dyDescent="0.2">
      <c r="P47" s="584"/>
      <c r="Q47" s="584"/>
      <c r="R47" s="588" t="s">
        <v>311</v>
      </c>
      <c r="S47" s="584"/>
      <c r="T47" s="584"/>
      <c r="U47" s="584"/>
    </row>
    <row r="48" spans="1:42"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441</v>
      </c>
      <c r="C300" s="981">
        <v>40</v>
      </c>
    </row>
    <row r="301" spans="1:3" x14ac:dyDescent="0.2">
      <c r="A301" s="449">
        <v>2</v>
      </c>
      <c r="B301" s="450" t="s">
        <v>256</v>
      </c>
      <c r="C301" s="981">
        <v>34</v>
      </c>
    </row>
    <row r="302" spans="1:3" x14ac:dyDescent="0.2">
      <c r="A302" s="449">
        <v>3</v>
      </c>
      <c r="B302" s="450" t="s">
        <v>442</v>
      </c>
      <c r="C302" s="981">
        <v>30</v>
      </c>
    </row>
    <row r="303" spans="1:3" x14ac:dyDescent="0.2">
      <c r="A303" s="449">
        <v>4</v>
      </c>
      <c r="B303" s="450" t="s">
        <v>268</v>
      </c>
      <c r="C303" s="981">
        <v>26</v>
      </c>
    </row>
    <row r="304" spans="1:3" x14ac:dyDescent="0.2">
      <c r="A304" s="449">
        <v>5</v>
      </c>
      <c r="B304" s="450" t="s">
        <v>263</v>
      </c>
      <c r="C304" s="981">
        <v>24</v>
      </c>
    </row>
    <row r="305" spans="1:3" x14ac:dyDescent="0.2">
      <c r="A305" s="449">
        <v>6</v>
      </c>
      <c r="B305" s="450" t="s">
        <v>269</v>
      </c>
      <c r="C305" s="981">
        <v>22</v>
      </c>
    </row>
    <row r="306" spans="1:3" x14ac:dyDescent="0.2">
      <c r="A306" s="449">
        <v>7</v>
      </c>
      <c r="B306" s="450" t="s">
        <v>251</v>
      </c>
      <c r="C306" s="981">
        <v>20</v>
      </c>
    </row>
    <row r="307" spans="1:3" x14ac:dyDescent="0.2">
      <c r="A307" s="449">
        <v>8</v>
      </c>
      <c r="B307" s="450" t="s">
        <v>259</v>
      </c>
      <c r="C307" s="981">
        <v>18</v>
      </c>
    </row>
    <row r="308" spans="1:3" x14ac:dyDescent="0.2">
      <c r="A308" s="449">
        <v>9</v>
      </c>
      <c r="B308" s="450" t="s">
        <v>443</v>
      </c>
      <c r="C308" s="981">
        <v>16</v>
      </c>
    </row>
    <row r="309" spans="1:3" x14ac:dyDescent="0.2">
      <c r="A309" s="449">
        <v>10</v>
      </c>
      <c r="B309" s="450" t="s">
        <v>444</v>
      </c>
      <c r="C309" s="981">
        <v>14</v>
      </c>
    </row>
    <row r="310" spans="1:3" x14ac:dyDescent="0.2">
      <c r="A310" s="449">
        <v>11</v>
      </c>
      <c r="B310" s="450" t="s">
        <v>252</v>
      </c>
      <c r="C310" s="981">
        <v>12</v>
      </c>
    </row>
    <row r="311" spans="1:3" x14ac:dyDescent="0.2">
      <c r="A311" s="449">
        <v>12</v>
      </c>
      <c r="B311" s="450" t="s">
        <v>255</v>
      </c>
      <c r="C311" s="981">
        <v>10</v>
      </c>
    </row>
    <row r="312" spans="1:3" x14ac:dyDescent="0.2">
      <c r="A312" s="449">
        <v>13</v>
      </c>
      <c r="B312" s="450" t="s">
        <v>257</v>
      </c>
      <c r="C312" s="981">
        <v>8</v>
      </c>
    </row>
    <row r="313" spans="1:3" x14ac:dyDescent="0.2">
      <c r="A313" s="449">
        <v>14</v>
      </c>
      <c r="B313" s="968" t="s">
        <v>446</v>
      </c>
      <c r="C313" s="981">
        <v>6</v>
      </c>
    </row>
  </sheetData>
  <conditionalFormatting sqref="D7 C8">
    <cfRule type="aboveAverage" dxfId="2976" priority="240"/>
  </conditionalFormatting>
  <conditionalFormatting sqref="E7 C9">
    <cfRule type="aboveAverage" dxfId="2975" priority="239"/>
  </conditionalFormatting>
  <conditionalFormatting sqref="F7 C10">
    <cfRule type="aboveAverage" dxfId="2974" priority="238"/>
  </conditionalFormatting>
  <conditionalFormatting sqref="E8 D9">
    <cfRule type="aboveAverage" dxfId="2973" priority="237"/>
  </conditionalFormatting>
  <conditionalFormatting sqref="G7 C11">
    <cfRule type="aboveAverage" dxfId="2972" priority="236"/>
  </conditionalFormatting>
  <conditionalFormatting sqref="F8 D10">
    <cfRule type="aboveAverage" dxfId="2971" priority="235"/>
  </conditionalFormatting>
  <conditionalFormatting sqref="G8 D11">
    <cfRule type="aboveAverage" dxfId="2970" priority="234"/>
  </conditionalFormatting>
  <conditionalFormatting sqref="F9 E10">
    <cfRule type="aboveAverage" dxfId="2969" priority="233"/>
  </conditionalFormatting>
  <conditionalFormatting sqref="G9 E11">
    <cfRule type="aboveAverage" dxfId="2968" priority="232"/>
  </conditionalFormatting>
  <conditionalFormatting sqref="F11 G10">
    <cfRule type="aboveAverage" dxfId="2967" priority="231"/>
  </conditionalFormatting>
  <conditionalFormatting sqref="D14 C15">
    <cfRule type="aboveAverage" dxfId="2966" priority="230"/>
  </conditionalFormatting>
  <conditionalFormatting sqref="E14 C16">
    <cfRule type="aboveAverage" dxfId="2965" priority="229"/>
  </conditionalFormatting>
  <conditionalFormatting sqref="F14 C17">
    <cfRule type="aboveAverage" dxfId="2964" priority="228"/>
  </conditionalFormatting>
  <conditionalFormatting sqref="E15 D16">
    <cfRule type="aboveAverage" dxfId="2963" priority="227"/>
  </conditionalFormatting>
  <conditionalFormatting sqref="G14 C18">
    <cfRule type="aboveAverage" dxfId="2962" priority="226"/>
  </conditionalFormatting>
  <conditionalFormatting sqref="F15 D17">
    <cfRule type="aboveAverage" dxfId="2961" priority="225"/>
  </conditionalFormatting>
  <conditionalFormatting sqref="G15 D18">
    <cfRule type="aboveAverage" dxfId="2960" priority="224"/>
  </conditionalFormatting>
  <conditionalFormatting sqref="F16 E17">
    <cfRule type="aboveAverage" dxfId="2959" priority="223"/>
  </conditionalFormatting>
  <conditionalFormatting sqref="G16 E18">
    <cfRule type="aboveAverage" dxfId="2958" priority="222"/>
  </conditionalFormatting>
  <conditionalFormatting sqref="F18 G17">
    <cfRule type="aboveAverage" dxfId="2957" priority="221"/>
  </conditionalFormatting>
  <conditionalFormatting sqref="D21 C22">
    <cfRule type="aboveAverage" dxfId="2956" priority="220"/>
  </conditionalFormatting>
  <conditionalFormatting sqref="E21 C23">
    <cfRule type="aboveAverage" dxfId="2955" priority="219"/>
  </conditionalFormatting>
  <conditionalFormatting sqref="F21 C24">
    <cfRule type="aboveAverage" dxfId="2954" priority="218"/>
  </conditionalFormatting>
  <conditionalFormatting sqref="E22 D23">
    <cfRule type="aboveAverage" dxfId="2953" priority="217"/>
  </conditionalFormatting>
  <conditionalFormatting sqref="G21 C25">
    <cfRule type="aboveAverage" dxfId="2952" priority="216"/>
  </conditionalFormatting>
  <conditionalFormatting sqref="F22 D24">
    <cfRule type="aboveAverage" dxfId="2951" priority="215"/>
  </conditionalFormatting>
  <conditionalFormatting sqref="G22 D25">
    <cfRule type="aboveAverage" dxfId="2950" priority="214"/>
  </conditionalFormatting>
  <conditionalFormatting sqref="F23 E24">
    <cfRule type="aboveAverage" dxfId="2949" priority="213"/>
  </conditionalFormatting>
  <conditionalFormatting sqref="G23 E25">
    <cfRule type="aboveAverage" dxfId="2948" priority="212"/>
  </conditionalFormatting>
  <conditionalFormatting sqref="F25 G24">
    <cfRule type="aboveAverage" dxfId="2947" priority="211"/>
  </conditionalFormatting>
  <conditionalFormatting sqref="D28 C29">
    <cfRule type="aboveAverage" dxfId="2946" priority="210"/>
  </conditionalFormatting>
  <conditionalFormatting sqref="E28 C30">
    <cfRule type="aboveAverage" dxfId="2945" priority="209"/>
  </conditionalFormatting>
  <conditionalFormatting sqref="F28 C31">
    <cfRule type="aboveAverage" dxfId="2944" priority="208"/>
  </conditionalFormatting>
  <conditionalFormatting sqref="E29 D30">
    <cfRule type="aboveAverage" dxfId="2943" priority="207"/>
  </conditionalFormatting>
  <conditionalFormatting sqref="G28 C32">
    <cfRule type="aboveAverage" dxfId="2942" priority="206"/>
  </conditionalFormatting>
  <conditionalFormatting sqref="F29 D31">
    <cfRule type="aboveAverage" dxfId="2941" priority="205"/>
  </conditionalFormatting>
  <conditionalFormatting sqref="G29 D32">
    <cfRule type="aboveAverage" dxfId="2940" priority="204"/>
  </conditionalFormatting>
  <conditionalFormatting sqref="F30 E31">
    <cfRule type="aboveAverage" dxfId="2939" priority="203"/>
  </conditionalFormatting>
  <conditionalFormatting sqref="G30 E32">
    <cfRule type="aboveAverage" dxfId="2938" priority="202"/>
  </conditionalFormatting>
  <conditionalFormatting sqref="F32 G31">
    <cfRule type="aboveAverage" dxfId="2937" priority="201"/>
  </conditionalFormatting>
  <conditionalFormatting sqref="I28:I32">
    <cfRule type="expression" dxfId="2936" priority="195">
      <formula>FIND(2,I28,1)</formula>
    </cfRule>
    <cfRule type="expression" dxfId="2935" priority="196">
      <formula>FIND(1,I28,1)</formula>
    </cfRule>
  </conditionalFormatting>
  <conditionalFormatting sqref="I21:I25">
    <cfRule type="expression" dxfId="2934" priority="197">
      <formula>FIND(2,I21,1)</formula>
    </cfRule>
    <cfRule type="expression" dxfId="2933" priority="198">
      <formula>FIND(1,I21,1)</formula>
    </cfRule>
  </conditionalFormatting>
  <conditionalFormatting sqref="I7:I11">
    <cfRule type="expression" dxfId="2932" priority="199">
      <formula>FIND(2,I7,1)</formula>
    </cfRule>
    <cfRule type="expression" dxfId="2931" priority="200">
      <formula>FIND(1,I7,1)</formula>
    </cfRule>
  </conditionalFormatting>
  <conditionalFormatting sqref="H14:H18">
    <cfRule type="expression" dxfId="2930" priority="139">
      <formula>AND(Q14=4,IF(COUNTIF(Q$14:Q$18,"=4")&gt;=2,TRUE))</formula>
    </cfRule>
    <cfRule type="expression" dxfId="2929" priority="241">
      <formula>AND(Q14=3,IF(COUNTIF(Q$14:Q$18,"=3")&gt;=2,TRUE))</formula>
    </cfRule>
    <cfRule type="expression" dxfId="2928" priority="242">
      <formula>AND(Q14=2,IF(COUNTIF(Q$14:Q$18,"=2")&gt;=2,TRUE))</formula>
    </cfRule>
    <cfRule type="expression" dxfId="2927" priority="243">
      <formula>AND(Q14=1,IF(COUNTIF(Q$14:Q$18,"=1")&gt;=2,TRUE))</formula>
    </cfRule>
  </conditionalFormatting>
  <conditionalFormatting sqref="B7:B33">
    <cfRule type="duplicateValues" dxfId="2926" priority="194"/>
  </conditionalFormatting>
  <conditionalFormatting sqref="L7:L11">
    <cfRule type="expression" dxfId="2925" priority="177">
      <formula>K7=0</formula>
    </cfRule>
    <cfRule type="expression" dxfId="2924" priority="186">
      <formula>IF(COUNTIF(J$7:J$11,"=2")=2,TRUE)</formula>
    </cfRule>
    <cfRule type="expression" dxfId="2923" priority="187">
      <formula>IF(COUNTIF(J$7:J$11,"=1")=2,TRUE)</formula>
    </cfRule>
    <cfRule type="expression" dxfId="2922" priority="188">
      <formula>AND(IF(COUNTIF(Q$7:Q$11,"=1")=2,TRUE),IF(COUNTIF(Q$7:Q$11,"=2")=2,TRUE))</formula>
    </cfRule>
    <cfRule type="expression" dxfId="2921" priority="189">
      <formula>AND(Q7=4,IF(COUNTIF(Q$7:Q$11,"=4")=1,TRUE))</formula>
    </cfRule>
    <cfRule type="expression" dxfId="2920" priority="190">
      <formula>AND(Q7=3,IF(COUNTIF(Q$7:Q$11,"=3")=1,TRUE))</formula>
    </cfRule>
    <cfRule type="expression" dxfId="2919" priority="191">
      <formula>AND(Q7=2,IF(COUNTIF(Q$7:Q$11,"=2")=1,TRUE))</formula>
    </cfRule>
    <cfRule type="expression" dxfId="2918" priority="192">
      <formula>AND(Q7=1,IF(COUNTIF(Q$7:Q$11,"=1")=1,TRUE))</formula>
    </cfRule>
    <cfRule type="expression" dxfId="2917" priority="193">
      <formula>OR(Q7=0,Q7=5)</formula>
    </cfRule>
  </conditionalFormatting>
  <conditionalFormatting sqref="O7:O11">
    <cfRule type="expression" dxfId="2916" priority="185">
      <formula>OR(AND(J7=1,K7=1,L7=0,M7=1),AND(J7=2,K7=2,L7=0,M7=2))</formula>
    </cfRule>
  </conditionalFormatting>
  <conditionalFormatting sqref="M7:M11">
    <cfRule type="expression" dxfId="2915" priority="178">
      <formula>AND(L7&gt;0,IF(COUNTIF(L$7:L$11,L7)&gt;1,TRUE,FALSE))</formula>
    </cfRule>
    <cfRule type="expression" dxfId="2914" priority="179">
      <formula>AND(IF(COUNTIF(R$7:R$11,"=1")=2,TRUE),IF(COUNTIF(R$7:R$11,"=2")=2,TRUE))</formula>
    </cfRule>
    <cfRule type="expression" dxfId="2913" priority="180">
      <formula>AND(R7=4,IF(COUNTIF(R$7:R$11,"=4")=1,TRUE))</formula>
    </cfRule>
    <cfRule type="expression" dxfId="2912" priority="181">
      <formula>AND(R7=3,IF(COUNTIF(R$7:R$11,"=3")=1,TRUE))</formula>
    </cfRule>
    <cfRule type="expression" dxfId="2911" priority="182">
      <formula>AND(R7=2,IF(COUNTIF(R$7:R$11,"=2")=1,TRUE))</formula>
    </cfRule>
    <cfRule type="expression" dxfId="2910" priority="183">
      <formula>AND(R7=1,IF(COUNTIF(R$7:R$11,"=1")=1,TRUE))</formula>
    </cfRule>
    <cfRule type="expression" dxfId="2909" priority="184">
      <formula>OR(R7=0,R7=5)</formula>
    </cfRule>
  </conditionalFormatting>
  <conditionalFormatting sqref="J7:J11">
    <cfRule type="expression" dxfId="2908" priority="173">
      <formula>AND(Q7=4,IF(COUNTIF(Q$7:Q$11,"=4")&gt;=2,TRUE))</formula>
    </cfRule>
    <cfRule type="expression" dxfId="2907" priority="174">
      <formula>AND(Q7=3,IF(COUNTIF(Q$7:Q$11,"=3")&gt;=2,TRUE))</formula>
    </cfRule>
    <cfRule type="expression" dxfId="2906" priority="175">
      <formula>AND(Q7=2,IF(COUNTIF(Q$7:Q$11,"=2")&gt;=2,TRUE))</formula>
    </cfRule>
    <cfRule type="expression" dxfId="2905" priority="176">
      <formula>AND(Q7=1,IF(COUNTIF(Q$7:Q$11,"=1")&gt;=2,TRUE))</formula>
    </cfRule>
  </conditionalFormatting>
  <conditionalFormatting sqref="H7:H11">
    <cfRule type="expression" dxfId="2904" priority="140">
      <formula>AND(Q7=4,IF(COUNTIF(Q$7:Q$11,"=4")&gt;=2,TRUE))</formula>
    </cfRule>
    <cfRule type="expression" dxfId="2903" priority="244">
      <formula>AND(Q7=3,IF(COUNTIF(Q$7:Q$11,"=3")&gt;=2,TRUE))</formula>
    </cfRule>
    <cfRule type="expression" dxfId="2902" priority="245">
      <formula>AND(Q7=2,IF(COUNTIF(Q$7:Q$11,"=2")&gt;=2,TRUE))</formula>
    </cfRule>
    <cfRule type="expression" dxfId="2901" priority="246">
      <formula>AND(Q7=1,IF(COUNTIF(Q$7:Q$11,"=1")&gt;=2,TRUE))</formula>
    </cfRule>
  </conditionalFormatting>
  <conditionalFormatting sqref="K7:K11">
    <cfRule type="expression" dxfId="2900" priority="247">
      <formula>AND(J7&gt;0,IF(COUNTIF(J$7:J$11,"=1")=2,TRUE),IF(COUNTIF(J$7:J$11,"=2")=2,TRUE))</formula>
    </cfRule>
    <cfRule type="expression" dxfId="2899" priority="248">
      <formula>IF(COUNTIF(L$7:L$11,"=2")=2,TRUE)</formula>
    </cfRule>
    <cfRule type="expression" dxfId="2898" priority="249">
      <formula>IF(COUNTIF(L$7:L$11,"=1")=2,TRUE)</formula>
    </cfRule>
    <cfRule type="expression" dxfId="2897" priority="250">
      <formula>AND(IF(COUNTIF(R$7:R$11,"=1")=2,TRUE),IF(COUNTIF(S$7:S$11,"=2")=2,TRUE))</formula>
    </cfRule>
    <cfRule type="expression" dxfId="2896" priority="251">
      <formula>AND(R7=4,IF(COUNTIF(R$7:R$11,"=4")=1,TRUE))</formula>
    </cfRule>
    <cfRule type="expression" dxfId="2895" priority="252">
      <formula>AND(R7=3,IF(COUNTIF(R$7:R$11,"=3")=1,TRUE))</formula>
    </cfRule>
    <cfRule type="expression" dxfId="2894" priority="253">
      <formula>AND(R7=2,IF(COUNTIF(R$7:R$11,"=2")=1,TRUE))</formula>
    </cfRule>
    <cfRule type="expression" dxfId="2893" priority="254">
      <formula>AND(R7=1,IF(COUNTIF(R$7:R$11,"=1")=1,TRUE))</formula>
    </cfRule>
    <cfRule type="expression" dxfId="2892" priority="255">
      <formula>OR(R7=0,R7=5)</formula>
    </cfRule>
  </conditionalFormatting>
  <conditionalFormatting sqref="I14:I18">
    <cfRule type="expression" dxfId="2891" priority="162">
      <formula>FIND(2,I14,1)</formula>
    </cfRule>
    <cfRule type="expression" dxfId="2890" priority="163">
      <formula>FIND(1,I14,1)</formula>
    </cfRule>
  </conditionalFormatting>
  <conditionalFormatting sqref="L14:L18">
    <cfRule type="expression" dxfId="2889" priority="145">
      <formula>K14=0</formula>
    </cfRule>
    <cfRule type="expression" dxfId="2888" priority="154">
      <formula>IF(COUNTIF(J$14:J$18,"=2")=2,TRUE)</formula>
    </cfRule>
    <cfRule type="expression" dxfId="2887" priority="155">
      <formula>IF(COUNTIF(J$14:J$18,"=1")=2,TRUE)</formula>
    </cfRule>
    <cfRule type="expression" dxfId="2886" priority="156">
      <formula>AND(IF(COUNTIF(Q$14:Q$18,"=1")=2,TRUE),IF(COUNTIF(Q$14:Q$18,"=2")=2,TRUE))</formula>
    </cfRule>
    <cfRule type="expression" dxfId="2885" priority="157">
      <formula>AND(Q14=4,IF(COUNTIF(Q$14:Q$18,"=4")=1,TRUE))</formula>
    </cfRule>
    <cfRule type="expression" dxfId="2884" priority="158">
      <formula>AND(Q14=3,IF(COUNTIF(Q$14:Q$18,"=3")=1,TRUE))</formula>
    </cfRule>
    <cfRule type="expression" dxfId="2883" priority="159">
      <formula>AND(Q14=2,IF(COUNTIF(Q$14:Q$18,"=2")=1,TRUE))</formula>
    </cfRule>
    <cfRule type="expression" dxfId="2882" priority="160">
      <formula>AND(Q14=1,IF(COUNTIF(Q$14:Q$18,"=1")=1,TRUE))</formula>
    </cfRule>
    <cfRule type="expression" dxfId="2881" priority="161">
      <formula>OR(Q14=0,Q14=5)</formula>
    </cfRule>
  </conditionalFormatting>
  <conditionalFormatting sqref="O14:O18">
    <cfRule type="expression" dxfId="2880" priority="153">
      <formula>OR(AND(J14=1,K14=1,L14=0,M14=1),AND(J14=2,K14=2,L14=0,M14=2))</formula>
    </cfRule>
  </conditionalFormatting>
  <conditionalFormatting sqref="M14:M18">
    <cfRule type="expression" dxfId="2879" priority="146">
      <formula>AND(L14&gt;0,IF(COUNTIF(L$14:L$18,L14)&gt;1,TRUE,FALSE))</formula>
    </cfRule>
    <cfRule type="expression" dxfId="2878" priority="147">
      <formula>AND(IF(COUNTIF(R$14:R$18,"=1")=2,TRUE),IF(COUNTIF(R$14:R$18,"=2")=2,TRUE))</formula>
    </cfRule>
    <cfRule type="expression" dxfId="2877" priority="148">
      <formula>AND(R14=4,IF(COUNTIF(R$14:R$18,"=4")=1,TRUE))</formula>
    </cfRule>
    <cfRule type="expression" dxfId="2876" priority="149">
      <formula>AND(R14=3,IF(COUNTIF(R$14:R$18,"=3")=1,TRUE))</formula>
    </cfRule>
    <cfRule type="expression" dxfId="2875" priority="150">
      <formula>AND(R14=2,IF(COUNTIF(R$14:R$18,"=2")=1,TRUE))</formula>
    </cfRule>
    <cfRule type="expression" dxfId="2874" priority="151">
      <formula>AND(R14=1,IF(COUNTIF(R$14:R$18,"=1")=1,TRUE))</formula>
    </cfRule>
    <cfRule type="expression" dxfId="2873" priority="152">
      <formula>OR(R14=0,R14=5)</formula>
    </cfRule>
  </conditionalFormatting>
  <conditionalFormatting sqref="J14:J18">
    <cfRule type="expression" dxfId="2872" priority="141">
      <formula>AND(Q14=4,IF(COUNTIF(Q$14:Q$18,"=4")&gt;=2,TRUE))</formula>
    </cfRule>
    <cfRule type="expression" dxfId="2871" priority="142">
      <formula>AND(Q14=3,IF(COUNTIF(Q$14:Q$18,"=3")&gt;=2,TRUE))</formula>
    </cfRule>
    <cfRule type="expression" dxfId="2870" priority="143">
      <formula>AND(Q14=2,IF(COUNTIF(Q$14:Q$18,"=2")&gt;=2,TRUE))</formula>
    </cfRule>
    <cfRule type="expression" dxfId="2869" priority="144">
      <formula>AND(Q14=1,IF(COUNTIF(Q$14:Q$18,"=1")&gt;=2,TRUE))</formula>
    </cfRule>
  </conditionalFormatting>
  <conditionalFormatting sqref="K14:K18">
    <cfRule type="expression" dxfId="2868" priority="164">
      <formula>AND(J14&gt;0,IF(COUNTIF(J$14:J$18,"=1")=2,TRUE),IF(COUNTIF(J$14:J$18,"=2")=2,TRUE))</formula>
    </cfRule>
    <cfRule type="expression" dxfId="2867" priority="165">
      <formula>IF(COUNTIF(L$14:L$18,"=2")=2,TRUE)</formula>
    </cfRule>
    <cfRule type="expression" dxfId="2866" priority="166">
      <formula>IF(COUNTIF(L$14:L$18,"=1")=2,TRUE)</formula>
    </cfRule>
    <cfRule type="expression" dxfId="2865" priority="167">
      <formula>AND(IF(COUNTIF(R$14:R$18,"=1")=2,TRUE),IF(COUNTIF(S$14:S$18,"=2")=2,TRUE))</formula>
    </cfRule>
    <cfRule type="expression" dxfId="2864" priority="168">
      <formula>AND(R14=4,IF(COUNTIF(R$14:R$18,"=4")=1,TRUE))</formula>
    </cfRule>
    <cfRule type="expression" dxfId="2863" priority="169">
      <formula>AND(R14=3,IF(COUNTIF(R$14:R$18,"=3")=1,TRUE))</formula>
    </cfRule>
    <cfRule type="expression" dxfId="2862" priority="170">
      <formula>AND(R14=2,IF(COUNTIF(R$14:R$18,"=2")=1,TRUE))</formula>
    </cfRule>
    <cfRule type="expression" dxfId="2861" priority="171">
      <formula>AND(R14=1,IF(COUNTIF(R$14:R$18,"=1")=1,TRUE))</formula>
    </cfRule>
    <cfRule type="expression" dxfId="2860" priority="172">
      <formula>OR(R14=0,R14=5)</formula>
    </cfRule>
  </conditionalFormatting>
  <conditionalFormatting sqref="L21:L25">
    <cfRule type="expression" dxfId="2859" priority="113">
      <formula>K21=0</formula>
    </cfRule>
    <cfRule type="expression" dxfId="2858" priority="122">
      <formula>IF(COUNTIF(J$21:J$25,"=2")=2,TRUE)</formula>
    </cfRule>
    <cfRule type="expression" dxfId="2857" priority="123">
      <formula>IF(COUNTIF(J$21:J$25,"=1")=2,TRUE)</formula>
    </cfRule>
    <cfRule type="expression" dxfId="2856" priority="124">
      <formula>AND(IF(COUNTIF(Q$21:Q$25,"=1")=2,TRUE),IF(COUNTIF(Q$21:Q$25,"=2")=2,TRUE))</formula>
    </cfRule>
    <cfRule type="expression" dxfId="2855" priority="125">
      <formula>AND(Q21=4,IF(COUNTIF(Q$21:Q$25,"=4")=1,TRUE))</formula>
    </cfRule>
    <cfRule type="expression" dxfId="2854" priority="126">
      <formula>AND(Q21=3,IF(COUNTIF(Q$21:Q$25,"=3")=1,TRUE))</formula>
    </cfRule>
    <cfRule type="expression" dxfId="2853" priority="127">
      <formula>AND(Q21=2,IF(COUNTIF(Q$21:Q$25,"=2")=1,TRUE))</formula>
    </cfRule>
    <cfRule type="expression" dxfId="2852" priority="128">
      <formula>AND(Q21=1,IF(COUNTIF(Q$21:Q$25,"=1")=1,TRUE))</formula>
    </cfRule>
    <cfRule type="expression" dxfId="2851" priority="129">
      <formula>OR(Q21=0,Q21=5)</formula>
    </cfRule>
  </conditionalFormatting>
  <conditionalFormatting sqref="O21:O25">
    <cfRule type="expression" dxfId="2850" priority="121">
      <formula>OR(AND(J21=1,K21=1,L21=0,M21=1),AND(J21=2,K21=2,L21=0,M21=2))</formula>
    </cfRule>
  </conditionalFormatting>
  <conditionalFormatting sqref="M21:M25">
    <cfRule type="expression" dxfId="2849" priority="114">
      <formula>AND(L21&gt;0,IF(COUNTIF(L$21:L$25,L21)&gt;1,TRUE,FALSE))</formula>
    </cfRule>
    <cfRule type="expression" dxfId="2848" priority="115">
      <formula>AND(IF(COUNTIF(R$21:R$25,"=1")=2,TRUE),IF(COUNTIF(R$21:R$25,"=2")=2,TRUE))</formula>
    </cfRule>
    <cfRule type="expression" dxfId="2847" priority="116">
      <formula>AND(R21=4,IF(COUNTIF(R$21:R$25,"=4")=1,TRUE))</formula>
    </cfRule>
    <cfRule type="expression" dxfId="2846" priority="117">
      <formula>AND(R21=3,IF(COUNTIF(R$21:R$25,"=3")=1,TRUE))</formula>
    </cfRule>
    <cfRule type="expression" dxfId="2845" priority="118">
      <formula>AND(R21=2,IF(COUNTIF(R$21:R$25,"=2")=1,TRUE))</formula>
    </cfRule>
    <cfRule type="expression" dxfId="2844" priority="119">
      <formula>AND(R21=1,IF(COUNTIF(R$21:R$25,"=1")=1,TRUE))</formula>
    </cfRule>
    <cfRule type="expression" dxfId="2843" priority="120">
      <formula>OR(R21=0,R21=5)</formula>
    </cfRule>
  </conditionalFormatting>
  <conditionalFormatting sqref="J21:J25">
    <cfRule type="expression" dxfId="2842" priority="109">
      <formula>AND(Q21=4,IF(COUNTIF(Q$21:Q$25,"=4")&gt;=2,TRUE))</formula>
    </cfRule>
    <cfRule type="expression" dxfId="2841" priority="110">
      <formula>AND(Q21=3,IF(COUNTIF(Q$21:Q$25,"=3")&gt;=2,TRUE))</formula>
    </cfRule>
    <cfRule type="expression" dxfId="2840" priority="111">
      <formula>AND(Q21=2,IF(COUNTIF(Q$21:Q$25,"=2")&gt;=2,TRUE))</formula>
    </cfRule>
    <cfRule type="expression" dxfId="2839" priority="112">
      <formula>AND(Q21=1,IF(COUNTIF(Q$21:Q$25,"=1")&gt;=2,TRUE))</formula>
    </cfRule>
  </conditionalFormatting>
  <conditionalFormatting sqref="K21:K25">
    <cfRule type="expression" dxfId="2838" priority="130">
      <formula>AND(J21&gt;0,IF(COUNTIF(J$21:J$25,"=1")=2,TRUE),IF(COUNTIF(J$21:J$25,"=2")=2,TRUE))</formula>
    </cfRule>
    <cfRule type="expression" dxfId="2837" priority="131">
      <formula>IF(COUNTIF(L$21:L$25,"=2")=2,TRUE)</formula>
    </cfRule>
    <cfRule type="expression" dxfId="2836" priority="132">
      <formula>IF(COUNTIF(L$21:L$25,"=1")=2,TRUE)</formula>
    </cfRule>
    <cfRule type="expression" dxfId="2835" priority="133">
      <formula>AND(IF(COUNTIF(R$21:R$25,"=1")=2,TRUE),IF(COUNTIF(S$21:S$25,"=2")=2,TRUE))</formula>
    </cfRule>
    <cfRule type="expression" dxfId="2834" priority="134">
      <formula>AND(R21=4,IF(COUNTIF(R$21:R$25,"=4")=1,TRUE))</formula>
    </cfRule>
    <cfRule type="expression" dxfId="2833" priority="135">
      <formula>AND(R21=3,IF(COUNTIF(R$21:R$25,"=3")=1,TRUE))</formula>
    </cfRule>
    <cfRule type="expression" dxfId="2832" priority="136">
      <formula>AND(R21=2,IF(COUNTIF(R$21:R$25,"=2")=1,TRUE))</formula>
    </cfRule>
    <cfRule type="expression" dxfId="2831" priority="137">
      <formula>AND(R21=1,IF(COUNTIF(R$21:R$25,"=1")=1,TRUE))</formula>
    </cfRule>
    <cfRule type="expression" dxfId="2830" priority="138">
      <formula>OR(R21=0,R21=5)</formula>
    </cfRule>
  </conditionalFormatting>
  <conditionalFormatting sqref="H21:H25">
    <cfRule type="expression" dxfId="2829" priority="105">
      <formula>AND(Q21=4,IF(COUNTIF(Q$21:Q$25,"=4")&gt;=2,TRUE))</formula>
    </cfRule>
    <cfRule type="expression" dxfId="2828" priority="106">
      <formula>AND(Q21=3,IF(COUNTIF(Q$21:Q$25,"=3")&gt;=2,TRUE))</formula>
    </cfRule>
    <cfRule type="expression" dxfId="2827" priority="107">
      <formula>AND(Q21=2,IF(COUNTIF(Q$21:Q$25,"=2")&gt;=2,TRUE))</formula>
    </cfRule>
    <cfRule type="expression" dxfId="2826" priority="108">
      <formula>AND(Q21=1,IF(COUNTIF(Q$21:Q$25,"=1")&gt;=2,TRUE))</formula>
    </cfRule>
  </conditionalFormatting>
  <conditionalFormatting sqref="L28:L32">
    <cfRule type="expression" dxfId="2825" priority="79">
      <formula>K28=0</formula>
    </cfRule>
    <cfRule type="expression" dxfId="2824" priority="88">
      <formula>IF(COUNTIF(J$28:J$32,"=2")=2,TRUE)</formula>
    </cfRule>
    <cfRule type="expression" dxfId="2823" priority="89">
      <formula>IF(COUNTIF(J$28:J$32,"=1")=2,TRUE)</formula>
    </cfRule>
    <cfRule type="expression" dxfId="2822" priority="90">
      <formula>AND(IF(COUNTIF(Q$28:Q$32,"=1")=2,TRUE),IF(COUNTIF(Q$28:Q$32,"=2")=2,TRUE))</formula>
    </cfRule>
    <cfRule type="expression" dxfId="2821" priority="91">
      <formula>AND(Q28=4,IF(COUNTIF(Q$28:Q$32,"=4")=1,TRUE))</formula>
    </cfRule>
    <cfRule type="expression" dxfId="2820" priority="92">
      <formula>AND(Q28=3,IF(COUNTIF(Q$28:Q$32,"=3")=1,TRUE))</formula>
    </cfRule>
    <cfRule type="expression" dxfId="2819" priority="93">
      <formula>AND(Q28=2,IF(COUNTIF(Q$28:Q$32,"=2")=1,TRUE))</formula>
    </cfRule>
    <cfRule type="expression" dxfId="2818" priority="94">
      <formula>AND(Q28=1,IF(COUNTIF(Q$28:Q$32,"=1")=1,TRUE))</formula>
    </cfRule>
    <cfRule type="expression" dxfId="2817" priority="95">
      <formula>OR(Q28=0,Q28=5)</formula>
    </cfRule>
  </conditionalFormatting>
  <conditionalFormatting sqref="O28:O32">
    <cfRule type="expression" dxfId="2816" priority="87">
      <formula>OR(AND(J28=1,K28=1,L28=0,M28=1),AND(J28=2,K28=2,L28=0,M28=2))</formula>
    </cfRule>
  </conditionalFormatting>
  <conditionalFormatting sqref="M28:M32">
    <cfRule type="expression" dxfId="2815" priority="80">
      <formula>AND(L28&gt;0,IF(COUNTIF(L$28:L$32,L28)&gt;1,TRUE,FALSE))</formula>
    </cfRule>
    <cfRule type="expression" dxfId="2814" priority="81">
      <formula>AND(IF(COUNTIF(R$28:R$32,"=1")=2,TRUE),IF(COUNTIF(R$28:R$32,"=2")=2,TRUE))</formula>
    </cfRule>
    <cfRule type="expression" dxfId="2813" priority="82">
      <formula>AND(R28=4,IF(COUNTIF(R$28:R$32,"=4")=1,TRUE))</formula>
    </cfRule>
    <cfRule type="expression" dxfId="2812" priority="83">
      <formula>AND(R28=3,IF(COUNTIF(R$28:R$32,"=3")=1,TRUE))</formula>
    </cfRule>
    <cfRule type="expression" dxfId="2811" priority="84">
      <formula>AND(R28=2,IF(COUNTIF(R$28:R$32,"=2")=1,TRUE))</formula>
    </cfRule>
    <cfRule type="expression" dxfId="2810" priority="85">
      <formula>AND(R28=1,IF(COUNTIF(R$28:R$32,"=1")=1,TRUE))</formula>
    </cfRule>
    <cfRule type="expression" dxfId="2809" priority="86">
      <formula>OR(R28=0,R28=5)</formula>
    </cfRule>
  </conditionalFormatting>
  <conditionalFormatting sqref="J28:J32">
    <cfRule type="expression" dxfId="2808" priority="75">
      <formula>AND(Q28=4,IF(COUNTIF(Q$28:Q$32,"=4")&gt;=2,TRUE))</formula>
    </cfRule>
    <cfRule type="expression" dxfId="2807" priority="76">
      <formula>AND(Q28=3,IF(COUNTIF(Q$28:Q$32,"=3")&gt;=2,TRUE))</formula>
    </cfRule>
    <cfRule type="expression" dxfId="2806" priority="77">
      <formula>AND(Q28=2,IF(COUNTIF(Q$28:Q$32,"=2")&gt;=2,TRUE))</formula>
    </cfRule>
    <cfRule type="expression" dxfId="2805" priority="78">
      <formula>AND(Q28=1,IF(COUNTIF(Q$28:Q$32,"=1")&gt;=2,TRUE))</formula>
    </cfRule>
  </conditionalFormatting>
  <conditionalFormatting sqref="K28:K32">
    <cfRule type="expression" dxfId="2804" priority="96">
      <formula>AND(J28&gt;0,IF(COUNTIF(J$28:J$32,"=1")=2,TRUE),IF(COUNTIF(J$28:J$32,"=2")=2,TRUE))</formula>
    </cfRule>
    <cfRule type="expression" dxfId="2803" priority="97">
      <formula>IF(COUNTIF(L$28:L$32,"=2")=2,TRUE)</formula>
    </cfRule>
    <cfRule type="expression" dxfId="2802" priority="98">
      <formula>IF(COUNTIF(L$28:L$32,"=1")=2,TRUE)</formula>
    </cfRule>
    <cfRule type="expression" dxfId="2801" priority="99">
      <formula>AND(IF(COUNTIF(R$28:R$32,"=1")=2,TRUE),IF(COUNTIF(S$28:S$32,"=2")=2,TRUE))</formula>
    </cfRule>
    <cfRule type="expression" dxfId="2800" priority="100">
      <formula>AND(R28=4,IF(COUNTIF(R$28:R$32,"=4")=1,TRUE))</formula>
    </cfRule>
    <cfRule type="expression" dxfId="2799" priority="101">
      <formula>AND(R28=3,IF(COUNTIF(R$28:R$32,"=3")=1,TRUE))</formula>
    </cfRule>
    <cfRule type="expression" dxfId="2798" priority="102">
      <formula>AND(R28=2,IF(COUNTIF(R$28:R$32,"=2")=1,TRUE))</formula>
    </cfRule>
    <cfRule type="expression" dxfId="2797" priority="103">
      <formula>AND(R28=1,IF(COUNTIF(R$28:R$32,"=1")=1,TRUE))</formula>
    </cfRule>
    <cfRule type="expression" dxfId="2796" priority="104">
      <formula>OR(R28=0,R28=5)</formula>
    </cfRule>
  </conditionalFormatting>
  <conditionalFormatting sqref="H28:H32">
    <cfRule type="expression" dxfId="2795" priority="71">
      <formula>AND(Q28=4,IF(COUNTIF(Q$28:Q$32,"=4")&gt;=2,TRUE))</formula>
    </cfRule>
    <cfRule type="expression" dxfId="2794" priority="72">
      <formula>AND(Q28=3,IF(COUNTIF(Q$28:Q$32,"=3")&gt;=2,TRUE))</formula>
    </cfRule>
    <cfRule type="expression" dxfId="2793" priority="73">
      <formula>AND(Q28=2,IF(COUNTIF(Q$28:Q$32,"=2")&gt;=2,TRUE))</formula>
    </cfRule>
    <cfRule type="expression" dxfId="2792" priority="74">
      <formula>AND(Q28=1,IF(COUNTIF(Q$28:Q$32,"=1")&gt;=2,TRUE))</formula>
    </cfRule>
  </conditionalFormatting>
  <conditionalFormatting sqref="C102 C104">
    <cfRule type="aboveAverage" dxfId="2791" priority="70"/>
  </conditionalFormatting>
  <conditionalFormatting sqref="C102 C104">
    <cfRule type="containsBlanks" dxfId="2790" priority="69">
      <formula>LEN(TRIM(C102))=0</formula>
    </cfRule>
  </conditionalFormatting>
  <conditionalFormatting sqref="E103 E107">
    <cfRule type="containsBlanks" dxfId="2789" priority="67">
      <formula>LEN(TRIM(E103))=0</formula>
    </cfRule>
    <cfRule type="aboveAverage" dxfId="2788" priority="68"/>
  </conditionalFormatting>
  <conditionalFormatting sqref="E111 E115">
    <cfRule type="containsBlanks" dxfId="2787" priority="65">
      <formula>LEN(TRIM(E111))=0</formula>
    </cfRule>
    <cfRule type="aboveAverage" dxfId="2786" priority="66"/>
  </conditionalFormatting>
  <conditionalFormatting sqref="C106 C108">
    <cfRule type="aboveAverage" dxfId="2785" priority="64"/>
  </conditionalFormatting>
  <conditionalFormatting sqref="C106 C108">
    <cfRule type="containsBlanks" dxfId="2784" priority="63">
      <formula>LEN(TRIM(C106))=0</formula>
    </cfRule>
  </conditionalFormatting>
  <conditionalFormatting sqref="C110 C112">
    <cfRule type="aboveAverage" dxfId="2783" priority="62"/>
  </conditionalFormatting>
  <conditionalFormatting sqref="C110 C112">
    <cfRule type="containsBlanks" dxfId="2782" priority="61">
      <formula>LEN(TRIM(C110))=0</formula>
    </cfRule>
  </conditionalFormatting>
  <conditionalFormatting sqref="C114 C116">
    <cfRule type="aboveAverage" dxfId="2781" priority="60"/>
  </conditionalFormatting>
  <conditionalFormatting sqref="C114 C116">
    <cfRule type="containsBlanks" dxfId="2780" priority="59">
      <formula>LEN(TRIM(C114))=0</formula>
    </cfRule>
  </conditionalFormatting>
  <conditionalFormatting sqref="G117 G119">
    <cfRule type="aboveAverage" dxfId="2779" priority="58"/>
  </conditionalFormatting>
  <conditionalFormatting sqref="G117 G119">
    <cfRule type="containsBlanks" dxfId="2778" priority="57">
      <formula>LEN(TRIM(G117))=0</formula>
    </cfRule>
  </conditionalFormatting>
  <conditionalFormatting sqref="G105 G113">
    <cfRule type="containsBlanks" dxfId="2777" priority="55">
      <formula>LEN(TRIM(G105))=0</formula>
    </cfRule>
    <cfRule type="aboveAverage" dxfId="2776" priority="56"/>
  </conditionalFormatting>
  <conditionalFormatting sqref="G124 G128">
    <cfRule type="containsBlanks" dxfId="2775" priority="53">
      <formula>LEN(TRIM(G124))=0</formula>
    </cfRule>
    <cfRule type="aboveAverage" dxfId="2774" priority="54"/>
  </conditionalFormatting>
  <conditionalFormatting sqref="E123 E125">
    <cfRule type="aboveAverage" dxfId="2773" priority="52"/>
  </conditionalFormatting>
  <conditionalFormatting sqref="E123 E125">
    <cfRule type="containsBlanks" dxfId="2772" priority="51">
      <formula>LEN(TRIM(E123))=0</formula>
    </cfRule>
  </conditionalFormatting>
  <conditionalFormatting sqref="E127 E129">
    <cfRule type="aboveAverage" dxfId="2771" priority="50"/>
  </conditionalFormatting>
  <conditionalFormatting sqref="E127 E129">
    <cfRule type="containsBlanks" dxfId="2770" priority="49">
      <formula>LEN(TRIM(E127))=0</formula>
    </cfRule>
  </conditionalFormatting>
  <conditionalFormatting sqref="G131 G133">
    <cfRule type="aboveAverage" dxfId="2769" priority="48"/>
  </conditionalFormatting>
  <conditionalFormatting sqref="G131 G133">
    <cfRule type="containsBlanks" dxfId="2768" priority="47">
      <formula>LEN(TRIM(G131))=0</formula>
    </cfRule>
  </conditionalFormatting>
  <conditionalFormatting sqref="C140 C142">
    <cfRule type="aboveAverage" dxfId="2767" priority="46"/>
  </conditionalFormatting>
  <conditionalFormatting sqref="C140 C142">
    <cfRule type="containsBlanks" dxfId="2766" priority="45">
      <formula>LEN(TRIM(C140))=0</formula>
    </cfRule>
  </conditionalFormatting>
  <conditionalFormatting sqref="E141 E145">
    <cfRule type="containsBlanks" dxfId="2765" priority="43">
      <formula>LEN(TRIM(E141))=0</formula>
    </cfRule>
    <cfRule type="aboveAverage" dxfId="2764" priority="44"/>
  </conditionalFormatting>
  <conditionalFormatting sqref="E149 E153">
    <cfRule type="containsBlanks" dxfId="2763" priority="41">
      <formula>LEN(TRIM(E149))=0</formula>
    </cfRule>
    <cfRule type="aboveAverage" dxfId="2762" priority="42"/>
  </conditionalFormatting>
  <conditionalFormatting sqref="C144 C146">
    <cfRule type="aboveAverage" dxfId="2761" priority="40"/>
  </conditionalFormatting>
  <conditionalFormatting sqref="C144 C146">
    <cfRule type="containsBlanks" dxfId="2760" priority="39">
      <formula>LEN(TRIM(C144))=0</formula>
    </cfRule>
  </conditionalFormatting>
  <conditionalFormatting sqref="C148 C150">
    <cfRule type="aboveAverage" dxfId="2759" priority="38"/>
  </conditionalFormatting>
  <conditionalFormatting sqref="C148 C150">
    <cfRule type="containsBlanks" dxfId="2758" priority="37">
      <formula>LEN(TRIM(C148))=0</formula>
    </cfRule>
  </conditionalFormatting>
  <conditionalFormatting sqref="C152 C154">
    <cfRule type="aboveAverage" dxfId="2757" priority="36"/>
  </conditionalFormatting>
  <conditionalFormatting sqref="C152 C154">
    <cfRule type="containsBlanks" dxfId="2756" priority="35">
      <formula>LEN(TRIM(C152))=0</formula>
    </cfRule>
  </conditionalFormatting>
  <conditionalFormatting sqref="G155 G157">
    <cfRule type="aboveAverage" dxfId="2755" priority="34"/>
  </conditionalFormatting>
  <conditionalFormatting sqref="G155 G157">
    <cfRule type="containsBlanks" dxfId="2754" priority="33">
      <formula>LEN(TRIM(G155))=0</formula>
    </cfRule>
  </conditionalFormatting>
  <conditionalFormatting sqref="G143 G151">
    <cfRule type="containsBlanks" dxfId="2753" priority="31">
      <formula>LEN(TRIM(G143))=0</formula>
    </cfRule>
    <cfRule type="aboveAverage" dxfId="2752" priority="32"/>
  </conditionalFormatting>
  <conditionalFormatting sqref="G162 G166">
    <cfRule type="containsBlanks" dxfId="2751" priority="29">
      <formula>LEN(TRIM(G162))=0</formula>
    </cfRule>
    <cfRule type="aboveAverage" dxfId="2750" priority="30"/>
  </conditionalFormatting>
  <conditionalFormatting sqref="E161 E163">
    <cfRule type="aboveAverage" dxfId="2749" priority="28"/>
  </conditionalFormatting>
  <conditionalFormatting sqref="E161 E163">
    <cfRule type="containsBlanks" dxfId="2748" priority="27">
      <formula>LEN(TRIM(E161))=0</formula>
    </cfRule>
  </conditionalFormatting>
  <conditionalFormatting sqref="E165 E167">
    <cfRule type="aboveAverage" dxfId="2747" priority="26"/>
  </conditionalFormatting>
  <conditionalFormatting sqref="E165 E167">
    <cfRule type="containsBlanks" dxfId="2746" priority="25">
      <formula>LEN(TRIM(E165))=0</formula>
    </cfRule>
  </conditionalFormatting>
  <conditionalFormatting sqref="G169 G171">
    <cfRule type="aboveAverage" dxfId="2745" priority="24"/>
  </conditionalFormatting>
  <conditionalFormatting sqref="G169 G171">
    <cfRule type="containsBlanks" dxfId="2744" priority="23">
      <formula>LEN(TRIM(G169))=0</formula>
    </cfRule>
  </conditionalFormatting>
  <conditionalFormatting sqref="A300:A313">
    <cfRule type="duplicateValues" dxfId="2743" priority="526"/>
  </conditionalFormatting>
  <conditionalFormatting sqref="B300:B313">
    <cfRule type="expression" dxfId="2742" priority="527">
      <formula>A300=3</formula>
    </cfRule>
    <cfRule type="expression" dxfId="2741" priority="528">
      <formula>A300=2</formula>
    </cfRule>
    <cfRule type="expression" dxfId="2740" priority="529">
      <formula>A300=1</formula>
    </cfRule>
    <cfRule type="containsBlanks" dxfId="2739" priority="530">
      <formula>LEN(TRIM(B300))=0</formula>
    </cfRule>
    <cfRule type="duplicateValues" dxfId="2738" priority="531"/>
  </conditionalFormatting>
  <conditionalFormatting sqref="AJ6:AJ33">
    <cfRule type="expression" dxfId="2737" priority="5">
      <formula>AND(AI6="",FIND(",",AJ6))</formula>
    </cfRule>
    <cfRule type="expression" dxfId="2736" priority="7">
      <formula>AND(AI6="",COUNTIF(AJ6,"*,*")=0)</formula>
    </cfRule>
  </conditionalFormatting>
  <conditionalFormatting sqref="AH6:AH33">
    <cfRule type="expression" dxfId="2735" priority="8">
      <formula>AND(AG6="",FIND(",",AH6))</formula>
    </cfRule>
    <cfRule type="expression" dxfId="2734" priority="9">
      <formula>AND(AG6="",COUNTIF(AH6,"*,*")=0)</formula>
    </cfRule>
  </conditionalFormatting>
  <conditionalFormatting sqref="AL6:AL33">
    <cfRule type="expression" dxfId="2733" priority="10">
      <formula>AND(AK6="",FIND(",",AL6))</formula>
    </cfRule>
    <cfRule type="expression" dxfId="2732" priority="11">
      <formula>AND(AK6="",COUNTIF(AL6,"*,*")=0)</formula>
    </cfRule>
  </conditionalFormatting>
  <conditionalFormatting sqref="AF6:AF33">
    <cfRule type="expression" dxfId="2731" priority="6">
      <formula>AND(AE6="",COUNTIF(AF6,"*,*")=0)</formula>
    </cfRule>
  </conditionalFormatting>
  <conditionalFormatting sqref="AN6:AN33">
    <cfRule type="expression" dxfId="2730" priority="2">
      <formula>AND(AM6="",COUNTIF(AN6,"*,*")=0)</formula>
    </cfRule>
    <cfRule type="expression" dxfId="2729" priority="4">
      <formula>AND(AM6="",FIND(",",AN6))</formula>
    </cfRule>
  </conditionalFormatting>
  <conditionalFormatting sqref="AP6:AP33">
    <cfRule type="expression" dxfId="2728" priority="1">
      <formula>AND(AO6="",COUNTIF(AP6,"*,*")=0)</formula>
    </cfRule>
    <cfRule type="expression" dxfId="2727" priority="3">
      <formula>AND(AO6="",FIND(",",AP6))</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11"/>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61.570312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8" hidden="1" customWidth="1"/>
    <col min="33" max="33" width="9.140625" hidden="1" customWidth="1"/>
    <col min="34" max="34" width="50.5703125" hidden="1" customWidth="1"/>
    <col min="35" max="35" width="9.140625" hidden="1" customWidth="1"/>
    <col min="36" max="36" width="17.28515625" hidden="1" customWidth="1"/>
    <col min="37" max="37" width="9.140625" hidden="1" customWidth="1"/>
    <col min="38" max="38" width="18.7109375" hidden="1" customWidth="1"/>
    <col min="39" max="39" width="9.140625" hidden="1" customWidth="1"/>
    <col min="40" max="40" width="18.28515625" hidden="1" customWidth="1"/>
    <col min="41" max="41" width="9.140625" hidden="1" customWidth="1"/>
    <col min="42" max="42" width="14.5703125" hidden="1" customWidth="1"/>
  </cols>
  <sheetData>
    <row r="1" spans="1:42" x14ac:dyDescent="0.2">
      <c r="A1" s="462" t="str">
        <f>UPPER((Kalend!E9)&amp;" - "&amp;(Kalend!C9)&amp;" - "&amp;(Kalend!D9))</f>
        <v>3 - TOILA VALLA LAHTISED MV - TRIO</v>
      </c>
      <c r="E1" s="405"/>
      <c r="F1" s="405"/>
      <c r="G1" s="405"/>
      <c r="H1" s="405"/>
      <c r="I1" s="405"/>
      <c r="J1" s="405"/>
      <c r="K1" s="405"/>
      <c r="L1" s="405"/>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"&amp;(Kalend!A9)&amp;" kell "&amp;(Kalend!B9)</f>
        <v>Toimumisaeg: P, 23.05.2021 kell 11:00</v>
      </c>
      <c r="E2" s="405"/>
      <c r="F2" s="405"/>
      <c r="G2" s="405"/>
      <c r="H2" s="405"/>
      <c r="I2" s="405"/>
      <c r="J2" s="405"/>
      <c r="K2" s="405"/>
      <c r="L2" s="405"/>
      <c r="AD2" s="409"/>
      <c r="AE2" s="409"/>
      <c r="AF2" s="409"/>
      <c r="AG2" s="409"/>
      <c r="AH2" s="409"/>
      <c r="AI2" s="585"/>
      <c r="AJ2" s="409"/>
      <c r="AK2" s="409"/>
      <c r="AL2" s="409"/>
      <c r="AM2" s="409"/>
      <c r="AN2" s="409"/>
    </row>
    <row r="3" spans="1:42" x14ac:dyDescent="0.2">
      <c r="A3" s="409" t="str">
        <f>"Toimumiskoht: "&amp;(Kalend!F9)</f>
        <v>Toimumiskoht: Voka staadion</v>
      </c>
      <c r="L3" s="410" t="s">
        <v>227</v>
      </c>
      <c r="AD3" s="409"/>
      <c r="AF3" s="409"/>
      <c r="AG3" s="409"/>
      <c r="AH3" s="409"/>
      <c r="AI3" s="409"/>
      <c r="AJ3" s="409"/>
      <c r="AK3" s="409"/>
      <c r="AL3" s="409"/>
      <c r="AM3" s="409"/>
      <c r="AN3" s="409"/>
    </row>
    <row r="4" spans="1:42" x14ac:dyDescent="0.2">
      <c r="A4" s="409" t="str">
        <f>"Korraldaja: "&amp;(Kalend!G9)</f>
        <v>Korraldaja: Johannes Neiland</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970"/>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971" t="s">
        <v>451</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17" ca="1" si="0">SUM(AE7:AL7)</f>
        <v>652</v>
      </c>
      <c r="AE7" s="459">
        <f ca="1">IFERROR(INDEX(Reit!$I:$I,MATCH(AF7,Reit!$F:$F,0)),"")</f>
        <v>272</v>
      </c>
      <c r="AF7" s="460" t="str">
        <f t="shared" ref="AF7:AF32" si="1">IFERROR(LEFT($B7,(FIND(",",$B7,1)-1)),"")</f>
        <v>Ivar Viljaste</v>
      </c>
      <c r="AG7" s="459" t="str">
        <f>IFERROR(INDEX(Reit!$I:$I,MATCH(AH7,Reit!$F:$F,0)),"")</f>
        <v/>
      </c>
      <c r="AH7" s="460" t="str">
        <f t="shared" ref="AH7:AH32" si="2">IFERROR(MID($B7,FIND(", ",$B7)+2,256),"")</f>
        <v>Kristo Viljaste, Meelis Luud</v>
      </c>
      <c r="AI7" s="459">
        <f ca="1">IFERROR(INDEX(Reit!$I:$I,MATCH(AJ7,Reit!$F:$F,0)),"")</f>
        <v>202</v>
      </c>
      <c r="AJ7" s="460" t="str">
        <f t="shared" ref="AJ7:AJ32" si="3">IFERROR(MID($B7,FIND("^",SUBSTITUTE($B7,", ","^",1))+2,FIND("^",SUBSTITUTE($B7,", ","^",2))-FIND("^",SUBSTITUTE($B7,", ","^",1))-2),"")</f>
        <v>Kristo Viljaste</v>
      </c>
      <c r="AK7" s="459">
        <f ca="1">IFERROR(INDEX(Reit!$I:$I,MATCH(AL7,Reit!$F:$F,0)),"")</f>
        <v>178</v>
      </c>
      <c r="AL7" s="460" t="str">
        <f t="shared" ref="AL7:AL32" si="4">IFERROR(MID($B7,FIND(", ",$B7,FIND(", ",$B7,FIND(", ",$B7))+1)+2,30000),"")</f>
        <v>Meelis Luud</v>
      </c>
      <c r="AM7" s="459" t="str">
        <f>IFERROR(INDEX(Reit!$I:$I,MATCH(AN7,Reit!$F:$F,0)),"")</f>
        <v/>
      </c>
      <c r="AN7" s="460" t="str">
        <f t="shared" ref="AN7:AN32" si="5">IFERROR(MID($B7,FIND(", ",$B7,FIND(", ",$B7)+1)+2,FIND(", ",$B7,FIND(", ",$B7,FIND(", ",$B7)+1)+1)-FIND(", ",$B7,FIND(", ",$B7)+1)-2),"")</f>
        <v/>
      </c>
      <c r="AO7" s="459" t="str">
        <f>IFERROR(INDEX(Reit!$I:$I,MATCH(AP7,Reit!$F:$F,0)),"")</f>
        <v/>
      </c>
      <c r="AP7" s="460" t="str">
        <f t="shared" ref="AP7:AP32" si="6">IFERROR(MID($B7,FIND(", ",$B7,FIND(", ",$B7,FIND(", ",$B7)+1)+1)+2,30000),"")</f>
        <v/>
      </c>
    </row>
    <row r="8" spans="1:42" hidden="1" x14ac:dyDescent="0.2">
      <c r="A8" s="550">
        <v>2</v>
      </c>
      <c r="B8" s="969" t="s">
        <v>452</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ca="1" si="0"/>
        <v>826</v>
      </c>
      <c r="AE8" s="459">
        <f ca="1">IFERROR(INDEX(Reit!$I:$I,MATCH(AF8,Reit!$F:$F,0)),"")</f>
        <v>286</v>
      </c>
      <c r="AF8" s="460" t="str">
        <f t="shared" si="1"/>
        <v>Henri Mitt</v>
      </c>
      <c r="AG8" s="459" t="str">
        <f>IFERROR(INDEX(Reit!$I:$I,MATCH(AH8,Reit!$F:$F,0)),"")</f>
        <v/>
      </c>
      <c r="AH8" s="460" t="str">
        <f t="shared" si="2"/>
        <v>Jaan Sepp, Oskar Sepp</v>
      </c>
      <c r="AI8" s="459">
        <f ca="1">IFERROR(INDEX(Reit!$I:$I,MATCH(AJ8,Reit!$F:$F,0)),"")</f>
        <v>248</v>
      </c>
      <c r="AJ8" s="460" t="str">
        <f t="shared" si="3"/>
        <v>Jaan Sepp</v>
      </c>
      <c r="AK8" s="459">
        <f ca="1">IFERROR(INDEX(Reit!$I:$I,MATCH(AL8,Reit!$F:$F,0)),"")</f>
        <v>292</v>
      </c>
      <c r="AL8" s="460" t="str">
        <f t="shared" si="4"/>
        <v>Oskar Sepp</v>
      </c>
      <c r="AM8" s="459" t="str">
        <f>IFERROR(INDEX(Reit!$I:$I,MATCH(AN8,Reit!$F:$F,0)),"")</f>
        <v/>
      </c>
      <c r="AN8" s="460" t="str">
        <f t="shared" si="5"/>
        <v/>
      </c>
      <c r="AO8" s="459" t="str">
        <f>IFERROR(INDEX(Reit!$I:$I,MATCH(AP8,Reit!$F:$F,0)),"")</f>
        <v/>
      </c>
      <c r="AP8" s="460" t="str">
        <f t="shared" si="6"/>
        <v/>
      </c>
    </row>
    <row r="9" spans="1:42" hidden="1" x14ac:dyDescent="0.2">
      <c r="A9" s="550">
        <v>3</v>
      </c>
      <c r="B9" s="969" t="s">
        <v>453</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ca="1" si="0"/>
        <v>423</v>
      </c>
      <c r="AE9" s="459">
        <f ca="1">IFERROR(INDEX(Reit!$I:$I,MATCH(AF9,Reit!$F:$F,0)),"")</f>
        <v>150</v>
      </c>
      <c r="AF9" s="460" t="str">
        <f t="shared" si="1"/>
        <v>Janek Tarto</v>
      </c>
      <c r="AG9" s="459" t="str">
        <f>IFERROR(INDEX(Reit!$I:$I,MATCH(AH9,Reit!$F:$F,0)),"")</f>
        <v/>
      </c>
      <c r="AH9" s="460" t="str">
        <f t="shared" si="2"/>
        <v>Kenneth Muusikus, Oksana Rõndenkova, Oleg Rõndenkov</v>
      </c>
      <c r="AI9" s="459">
        <f ca="1">IFERROR(INDEX(Reit!$I:$I,MATCH(AJ9,Reit!$F:$F,0)),"")</f>
        <v>273</v>
      </c>
      <c r="AJ9" s="460" t="str">
        <f t="shared" si="3"/>
        <v>Kenneth Muusikus</v>
      </c>
      <c r="AK9" s="459" t="str">
        <f>IFERROR(INDEX(Reit!$I:$I,MATCH(AL9,Reit!$F:$F,0)),"")</f>
        <v/>
      </c>
      <c r="AL9" s="460" t="str">
        <f t="shared" si="4"/>
        <v>Oksana Rõndenkova, Oleg Rõndenkov</v>
      </c>
      <c r="AM9" s="459">
        <f ca="1">IFERROR(INDEX(Reit!$I:$I,MATCH(AN9,Reit!$F:$F,0)),"")</f>
        <v>92</v>
      </c>
      <c r="AN9" s="460" t="str">
        <f t="shared" si="5"/>
        <v>Oksana Rõndenkova</v>
      </c>
      <c r="AO9" s="459">
        <f ca="1">IFERROR(INDEX(Reit!$I:$I,MATCH(AP9,Reit!$F:$F,0)),"")</f>
        <v>212</v>
      </c>
      <c r="AP9" s="460" t="str">
        <f t="shared" si="6"/>
        <v>Oleg Rõndenkov</v>
      </c>
    </row>
    <row r="10" spans="1:42" hidden="1" x14ac:dyDescent="0.2">
      <c r="A10" s="550">
        <v>4</v>
      </c>
      <c r="B10" s="972"/>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v>
      </c>
      <c r="T10" s="575" t="str">
        <f>Q10&amp;J10</f>
        <v>00</v>
      </c>
      <c r="U10" s="584"/>
      <c r="AD10" s="458">
        <f t="shared" si="0"/>
        <v>0</v>
      </c>
      <c r="AE10" s="459" t="str">
        <f>IFERROR(INDEX(Reit!$I:$I,MATCH(AF10,Reit!$F:$F,0)),"")</f>
        <v/>
      </c>
      <c r="AF10" s="460" t="str">
        <f t="shared" si="1"/>
        <v/>
      </c>
      <c r="AG10" s="459" t="str">
        <f>IFERROR(INDEX(Reit!$I:$I,MATCH(AH10,Reit!$F:$F,0)),"")</f>
        <v/>
      </c>
      <c r="AH10" s="460" t="str">
        <f t="shared" si="2"/>
        <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hidden="1" x14ac:dyDescent="0.2">
      <c r="A11" s="550">
        <v>5</v>
      </c>
      <c r="B11" s="972"/>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58">
        <f t="shared" si="0"/>
        <v>0</v>
      </c>
      <c r="AE11" s="459" t="str">
        <f>IFERROR(INDEX(Reit!$I:$I,MATCH(AF11,Reit!$F:$F,0)),"")</f>
        <v/>
      </c>
      <c r="AF11" s="460" t="str">
        <f t="shared" si="1"/>
        <v/>
      </c>
      <c r="AG11" s="459" t="str">
        <f>IFERROR(INDEX(Reit!$I:$I,MATCH(AH11,Reit!$F:$F,0)),"")</f>
        <v/>
      </c>
      <c r="AH11" s="460" t="str">
        <f t="shared" si="2"/>
        <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hidden="1" x14ac:dyDescent="0.2">
      <c r="A12" s="592"/>
      <c r="B12" s="973"/>
      <c r="C12" s="594"/>
      <c r="D12" s="595"/>
      <c r="E12" s="594"/>
      <c r="F12" s="596"/>
      <c r="G12" s="597"/>
      <c r="H12" s="598"/>
      <c r="I12" s="405"/>
      <c r="J12" s="584"/>
      <c r="K12" s="584"/>
      <c r="L12" s="584"/>
      <c r="M12" s="584"/>
      <c r="N12" s="584"/>
      <c r="O12" s="584"/>
      <c r="P12" s="584"/>
      <c r="Q12" s="584"/>
      <c r="R12" s="588" t="s">
        <v>311</v>
      </c>
      <c r="S12" s="584"/>
      <c r="T12" s="584"/>
      <c r="U12" s="584"/>
      <c r="AD12" s="458">
        <f t="shared" si="0"/>
        <v>0</v>
      </c>
      <c r="AE12" s="459" t="str">
        <f>IFERROR(INDEX(Reit!$I:$I,MATCH(AF12,Reit!$F:$F,0)),"")</f>
        <v/>
      </c>
      <c r="AF12" s="460" t="str">
        <f t="shared" si="1"/>
        <v/>
      </c>
      <c r="AG12" s="459" t="str">
        <f>IFERROR(INDEX(Reit!$I:$I,MATCH(AH12,Reit!$F:$F,0)),"")</f>
        <v/>
      </c>
      <c r="AH12" s="460" t="str">
        <f t="shared" si="2"/>
        <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hidden="1" x14ac:dyDescent="0.2">
      <c r="A13" s="550" t="s">
        <v>201</v>
      </c>
      <c r="B13" s="970"/>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58">
        <f t="shared" si="0"/>
        <v>0</v>
      </c>
      <c r="AE13" s="459" t="str">
        <f>IFERROR(INDEX(Reit!$I:$I,MATCH(AF13,Reit!$F:$F,0)),"")</f>
        <v/>
      </c>
      <c r="AF13" s="460" t="str">
        <f t="shared" si="1"/>
        <v/>
      </c>
      <c r="AG13" s="459" t="str">
        <f>IFERROR(INDEX(Reit!$I:$I,MATCH(AH13,Reit!$F:$F,0)),"")</f>
        <v/>
      </c>
      <c r="AH13" s="460" t="str">
        <f t="shared" si="2"/>
        <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hidden="1" x14ac:dyDescent="0.2">
      <c r="A14" s="550">
        <v>1</v>
      </c>
      <c r="B14" s="974" t="s">
        <v>454</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58">
        <f t="shared" ca="1" si="0"/>
        <v>606</v>
      </c>
      <c r="AE14" s="459">
        <f ca="1">IFERROR(INDEX(Reit!$I:$I,MATCH(AF14,Reit!$F:$F,0)),"")</f>
        <v>232</v>
      </c>
      <c r="AF14" s="460" t="str">
        <f t="shared" si="1"/>
        <v>Aarne Välja</v>
      </c>
      <c r="AG14" s="459" t="str">
        <f>IFERROR(INDEX(Reit!$I:$I,MATCH(AH14,Reit!$F:$F,0)),"")</f>
        <v/>
      </c>
      <c r="AH14" s="460" t="str">
        <f t="shared" si="2"/>
        <v>Matti Vinni, Urmas Jõeäär</v>
      </c>
      <c r="AI14" s="459">
        <f ca="1">IFERROR(INDEX(Reit!$I:$I,MATCH(AJ14,Reit!$F:$F,0)),"")</f>
        <v>294</v>
      </c>
      <c r="AJ14" s="460" t="str">
        <f t="shared" si="3"/>
        <v>Matti Vinni</v>
      </c>
      <c r="AK14" s="459">
        <f ca="1">IFERROR(INDEX(Reit!$I:$I,MATCH(AL14,Reit!$F:$F,0)),"")</f>
        <v>80</v>
      </c>
      <c r="AL14" s="460" t="str">
        <f t="shared" si="4"/>
        <v>Urmas Jõeäär</v>
      </c>
      <c r="AM14" s="459" t="str">
        <f>IFERROR(INDEX(Reit!$I:$I,MATCH(AN14,Reit!$F:$F,0)),"")</f>
        <v/>
      </c>
      <c r="AN14" s="460" t="str">
        <f t="shared" si="5"/>
        <v/>
      </c>
      <c r="AO14" s="459" t="str">
        <f>IFERROR(INDEX(Reit!$I:$I,MATCH(AP14,Reit!$F:$F,0)),"")</f>
        <v/>
      </c>
      <c r="AP14" s="460" t="str">
        <f t="shared" si="6"/>
        <v/>
      </c>
    </row>
    <row r="15" spans="1:42" hidden="1" x14ac:dyDescent="0.2">
      <c r="A15" s="550">
        <v>2</v>
      </c>
      <c r="B15" s="971" t="s">
        <v>455</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58">
        <f t="shared" ca="1" si="0"/>
        <v>518</v>
      </c>
      <c r="AE15" s="459">
        <f ca="1">IFERROR(INDEX(Reit!$I:$I,MATCH(AF15,Reit!$F:$F,0)),"")</f>
        <v>174</v>
      </c>
      <c r="AF15" s="460" t="str">
        <f t="shared" si="1"/>
        <v>Andrei Grintšak</v>
      </c>
      <c r="AG15" s="459" t="str">
        <f>IFERROR(INDEX(Reit!$I:$I,MATCH(AH15,Reit!$F:$F,0)),"")</f>
        <v/>
      </c>
      <c r="AH15" s="460" t="str">
        <f t="shared" si="2"/>
        <v>Boriss Klubov, Elmo Lageda</v>
      </c>
      <c r="AI15" s="459">
        <f ca="1">IFERROR(INDEX(Reit!$I:$I,MATCH(AJ15,Reit!$F:$F,0)),"")</f>
        <v>185</v>
      </c>
      <c r="AJ15" s="460" t="str">
        <f t="shared" si="3"/>
        <v>Boriss Klubov</v>
      </c>
      <c r="AK15" s="459">
        <f ca="1">IFERROR(INDEX(Reit!$I:$I,MATCH(AL15,Reit!$F:$F,0)),"")</f>
        <v>159</v>
      </c>
      <c r="AL15" s="460" t="str">
        <f t="shared" si="4"/>
        <v>Elmo Lageda</v>
      </c>
      <c r="AM15" s="459" t="str">
        <f>IFERROR(INDEX(Reit!$I:$I,MATCH(AN15,Reit!$F:$F,0)),"")</f>
        <v/>
      </c>
      <c r="AN15" s="460" t="str">
        <f t="shared" si="5"/>
        <v/>
      </c>
      <c r="AO15" s="459" t="str">
        <f>IFERROR(INDEX(Reit!$I:$I,MATCH(AP15,Reit!$F:$F,0)),"")</f>
        <v/>
      </c>
      <c r="AP15" s="460" t="str">
        <f t="shared" si="6"/>
        <v/>
      </c>
    </row>
    <row r="16" spans="1:42" hidden="1" x14ac:dyDescent="0.2">
      <c r="A16" s="550">
        <v>3</v>
      </c>
      <c r="B16" s="969" t="s">
        <v>456</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58">
        <f t="shared" ca="1" si="0"/>
        <v>315</v>
      </c>
      <c r="AE16" s="459">
        <f ca="1">IFERROR(INDEX(Reit!$I:$I,MATCH(AF16,Reit!$F:$F,0)),"")</f>
        <v>34</v>
      </c>
      <c r="AF16" s="460" t="str">
        <f t="shared" si="1"/>
        <v>Aleksandr Tipakov</v>
      </c>
      <c r="AG16" s="459" t="str">
        <f>IFERROR(INDEX(Reit!$I:$I,MATCH(AH16,Reit!$F:$F,0)),"")</f>
        <v/>
      </c>
      <c r="AH16" s="460" t="str">
        <f t="shared" si="2"/>
        <v>Ljudmila Varendi, Viktor Švarõgin</v>
      </c>
      <c r="AI16" s="459">
        <f ca="1">IFERROR(INDEX(Reit!$I:$I,MATCH(AJ16,Reit!$F:$F,0)),"")</f>
        <v>149</v>
      </c>
      <c r="AJ16" s="460" t="str">
        <f t="shared" si="3"/>
        <v>Ljudmila Varendi</v>
      </c>
      <c r="AK16" s="459">
        <f ca="1">IFERROR(INDEX(Reit!$I:$I,MATCH(AL16,Reit!$F:$F,0)),"")</f>
        <v>132</v>
      </c>
      <c r="AL16" s="460" t="str">
        <f t="shared" si="4"/>
        <v>Viktor Švarõgin</v>
      </c>
      <c r="AM16" s="459" t="str">
        <f>IFERROR(INDEX(Reit!$I:$I,MATCH(AN16,Reit!$F:$F,0)),"")</f>
        <v/>
      </c>
      <c r="AN16" s="460" t="str">
        <f t="shared" si="5"/>
        <v/>
      </c>
      <c r="AO16" s="459" t="str">
        <f>IFERROR(INDEX(Reit!$I:$I,MATCH(AP16,Reit!$F:$F,0)),"")</f>
        <v/>
      </c>
      <c r="AP16" s="460" t="str">
        <f t="shared" si="6"/>
        <v/>
      </c>
    </row>
    <row r="17" spans="1:42" hidden="1" x14ac:dyDescent="0.2">
      <c r="A17" s="550">
        <v>4</v>
      </c>
      <c r="B17" s="972"/>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v>
      </c>
      <c r="T17" s="575" t="str">
        <f>Q17&amp;J17</f>
        <v>00</v>
      </c>
      <c r="U17" s="584"/>
      <c r="AD17" s="458">
        <f t="shared" si="0"/>
        <v>0</v>
      </c>
      <c r="AE17" s="459" t="str">
        <f>IFERROR(INDEX(Reit!$I:$I,MATCH(AF17,Reit!$F:$F,0)),"")</f>
        <v/>
      </c>
      <c r="AF17" s="460" t="str">
        <f t="shared" si="1"/>
        <v/>
      </c>
      <c r="AG17" s="459" t="str">
        <f>IFERROR(INDEX(Reit!$I:$I,MATCH(AH17,Reit!$F:$F,0)),"")</f>
        <v/>
      </c>
      <c r="AH17" s="460" t="str">
        <f t="shared" si="2"/>
        <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hidden="1" x14ac:dyDescent="0.2">
      <c r="A18" s="550">
        <v>5</v>
      </c>
      <c r="B18" s="972"/>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58">
        <f t="shared" ref="AD18:AD32" si="7">SUM(AE18:AL18)</f>
        <v>0</v>
      </c>
      <c r="AE18" s="459" t="str">
        <f>IFERROR(INDEX(Reit!$I:$I,MATCH(AF18,Reit!$F:$F,0)),"")</f>
        <v/>
      </c>
      <c r="AF18" s="460" t="str">
        <f t="shared" si="1"/>
        <v/>
      </c>
      <c r="AG18" s="459" t="str">
        <f>IFERROR(INDEX(Reit!$I:$I,MATCH(AH18,Reit!$F:$F,0)),"")</f>
        <v/>
      </c>
      <c r="AH18" s="460" t="str">
        <f t="shared" si="2"/>
        <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19" s="592"/>
      <c r="B19" s="973"/>
      <c r="C19" s="594"/>
      <c r="D19" s="595"/>
      <c r="E19" s="594"/>
      <c r="F19" s="596"/>
      <c r="G19" s="597"/>
      <c r="H19" s="598"/>
      <c r="I19" s="614"/>
      <c r="J19" s="584"/>
      <c r="K19" s="584"/>
      <c r="L19" s="584"/>
      <c r="M19" s="584"/>
      <c r="N19" s="584"/>
      <c r="O19" s="584"/>
      <c r="P19" s="584"/>
      <c r="Q19" s="584"/>
      <c r="R19" s="588" t="s">
        <v>311</v>
      </c>
      <c r="S19" s="584"/>
      <c r="T19" s="584"/>
      <c r="U19" s="584"/>
      <c r="AD19" s="458">
        <f t="shared" si="7"/>
        <v>0</v>
      </c>
      <c r="AE19" s="459" t="str">
        <f>IFERROR(INDEX(Reit!$I:$I,MATCH(AF19,Reit!$F:$F,0)),"")</f>
        <v/>
      </c>
      <c r="AF19" s="460" t="str">
        <f t="shared" si="1"/>
        <v/>
      </c>
      <c r="AG19" s="459" t="str">
        <f>IFERROR(INDEX(Reit!$I:$I,MATCH(AH19,Reit!$F:$F,0)),"")</f>
        <v/>
      </c>
      <c r="AH19" s="460" t="str">
        <f t="shared" si="2"/>
        <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hidden="1" x14ac:dyDescent="0.2">
      <c r="A20" s="550" t="s">
        <v>202</v>
      </c>
      <c r="B20" s="970"/>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58">
        <f t="shared" si="7"/>
        <v>0</v>
      </c>
      <c r="AE20" s="459" t="str">
        <f>IFERROR(INDEX(Reit!$I:$I,MATCH(AF20,Reit!$F:$F,0)),"")</f>
        <v/>
      </c>
      <c r="AF20" s="460" t="str">
        <f t="shared" si="1"/>
        <v/>
      </c>
      <c r="AG20" s="459" t="str">
        <f>IFERROR(INDEX(Reit!$I:$I,MATCH(AH20,Reit!$F:$F,0)),"")</f>
        <v/>
      </c>
      <c r="AH20" s="460" t="str">
        <f t="shared" si="2"/>
        <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A21" s="550">
        <v>1</v>
      </c>
      <c r="B21" s="971" t="s">
        <v>460</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58">
        <f t="shared" ca="1" si="7"/>
        <v>60</v>
      </c>
      <c r="AE21" s="459">
        <f ca="1">IFERROR(INDEX(Reit!$I:$I,MATCH(AF21,Reit!$F:$F,0)),"")</f>
        <v>20</v>
      </c>
      <c r="AF21" s="460" t="str">
        <f t="shared" si="1"/>
        <v>Igor Kostin</v>
      </c>
      <c r="AG21" s="459" t="str">
        <f>IFERROR(INDEX(Reit!$I:$I,MATCH(AH21,Reit!$F:$F,0)),"")</f>
        <v/>
      </c>
      <c r="AH21" s="460" t="str">
        <f t="shared" si="2"/>
        <v>Marta Ruus, Peeter Zirk</v>
      </c>
      <c r="AI21" s="459">
        <f ca="1">IFERROR(INDEX(Reit!$I:$I,MATCH(AJ21,Reit!$F:$F,0)),"")</f>
        <v>20</v>
      </c>
      <c r="AJ21" s="460" t="str">
        <f t="shared" si="3"/>
        <v>Marta Ruus</v>
      </c>
      <c r="AK21" s="459">
        <f ca="1">IFERROR(INDEX(Reit!$I:$I,MATCH(AL21,Reit!$F:$F,0)),"")</f>
        <v>20</v>
      </c>
      <c r="AL21" s="460" t="str">
        <f t="shared" si="4"/>
        <v>Peeter Zirk</v>
      </c>
      <c r="AM21" s="459" t="str">
        <f>IFERROR(INDEX(Reit!$I:$I,MATCH(AN21,Reit!$F:$F,0)),"")</f>
        <v/>
      </c>
      <c r="AN21" s="460" t="str">
        <f t="shared" si="5"/>
        <v/>
      </c>
      <c r="AO21" s="459" t="str">
        <f>IFERROR(INDEX(Reit!$I:$I,MATCH(AP21,Reit!$F:$F,0)),"")</f>
        <v/>
      </c>
      <c r="AP21" s="460" t="str">
        <f t="shared" si="6"/>
        <v/>
      </c>
    </row>
    <row r="22" spans="1:42" hidden="1" x14ac:dyDescent="0.2">
      <c r="A22" s="550">
        <v>2</v>
      </c>
      <c r="B22" s="969" t="s">
        <v>440</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58">
        <f t="shared" ca="1" si="7"/>
        <v>318</v>
      </c>
      <c r="AE22" s="459">
        <f ca="1">IFERROR(INDEX(Reit!$I:$I,MATCH(AF22,Reit!$F:$F,0)),"")</f>
        <v>92</v>
      </c>
      <c r="AF22" s="460" t="str">
        <f t="shared" si="1"/>
        <v>Lemmit Toomra</v>
      </c>
      <c r="AG22" s="459" t="str">
        <f>IFERROR(INDEX(Reit!$I:$I,MATCH(AH22,Reit!$F:$F,0)),"")</f>
        <v/>
      </c>
      <c r="AH22" s="460" t="str">
        <f t="shared" si="2"/>
        <v>Tõnu Kapper, Vladimir Ogneštšikov</v>
      </c>
      <c r="AI22" s="459">
        <f ca="1">IFERROR(INDEX(Reit!$I:$I,MATCH(AJ22,Reit!$F:$F,0)),"")</f>
        <v>132</v>
      </c>
      <c r="AJ22" s="460" t="str">
        <f t="shared" si="3"/>
        <v>Tõnu Kapper</v>
      </c>
      <c r="AK22" s="459">
        <f ca="1">IFERROR(INDEX(Reit!$I:$I,MATCH(AL22,Reit!$F:$F,0)),"")</f>
        <v>94</v>
      </c>
      <c r="AL22" s="460" t="str">
        <f t="shared" si="4"/>
        <v>Vladimir Ogneštšikov</v>
      </c>
      <c r="AM22" s="459" t="str">
        <f>IFERROR(INDEX(Reit!$I:$I,MATCH(AN22,Reit!$F:$F,0)),"")</f>
        <v/>
      </c>
      <c r="AN22" s="460" t="str">
        <f t="shared" si="5"/>
        <v/>
      </c>
      <c r="AO22" s="459" t="str">
        <f>IFERROR(INDEX(Reit!$I:$I,MATCH(AP22,Reit!$F:$F,0)),"")</f>
        <v/>
      </c>
      <c r="AP22" s="460" t="str">
        <f t="shared" si="6"/>
        <v/>
      </c>
    </row>
    <row r="23" spans="1:42" hidden="1" x14ac:dyDescent="0.2">
      <c r="A23" s="550">
        <v>3</v>
      </c>
      <c r="B23" s="969" t="s">
        <v>435</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58">
        <f t="shared" ca="1" si="7"/>
        <v>614</v>
      </c>
      <c r="AE23" s="459">
        <f ca="1">IFERROR(INDEX(Reit!$I:$I,MATCH(AF23,Reit!$F:$F,0)),"")</f>
        <v>197</v>
      </c>
      <c r="AF23" s="460" t="str">
        <f t="shared" si="1"/>
        <v>Andres Veski</v>
      </c>
      <c r="AG23" s="459" t="str">
        <f>IFERROR(INDEX(Reit!$I:$I,MATCH(AH23,Reit!$F:$F,0)),"")</f>
        <v/>
      </c>
      <c r="AH23" s="460" t="str">
        <f t="shared" si="2"/>
        <v>Kaspar Mänd, Svetlana Veski</v>
      </c>
      <c r="AI23" s="459">
        <f ca="1">IFERROR(INDEX(Reit!$I:$I,MATCH(AJ23,Reit!$F:$F,0)),"")</f>
        <v>211</v>
      </c>
      <c r="AJ23" s="460" t="str">
        <f t="shared" si="3"/>
        <v>Kaspar Mänd</v>
      </c>
      <c r="AK23" s="459">
        <f ca="1">IFERROR(INDEX(Reit!$I:$I,MATCH(AL23,Reit!$F:$F,0)),"")</f>
        <v>206</v>
      </c>
      <c r="AL23" s="460" t="str">
        <f t="shared" si="4"/>
        <v>Svetlana Veski</v>
      </c>
      <c r="AM23" s="459" t="str">
        <f>IFERROR(INDEX(Reit!$I:$I,MATCH(AN23,Reit!$F:$F,0)),"")</f>
        <v/>
      </c>
      <c r="AN23" s="460" t="str">
        <f t="shared" si="5"/>
        <v/>
      </c>
      <c r="AO23" s="459" t="str">
        <f>IFERROR(INDEX(Reit!$I:$I,MATCH(AP23,Reit!$F:$F,0)),"")</f>
        <v/>
      </c>
      <c r="AP23" s="460" t="str">
        <f t="shared" si="6"/>
        <v/>
      </c>
    </row>
    <row r="24" spans="1:42" hidden="1" x14ac:dyDescent="0.2">
      <c r="A24" s="550">
        <v>4</v>
      </c>
      <c r="B24" s="969"/>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v>
      </c>
      <c r="T24" s="575" t="str">
        <f>Q24&amp;J24</f>
        <v>00</v>
      </c>
      <c r="U24" s="584"/>
      <c r="AD24" s="458">
        <f t="shared" si="7"/>
        <v>0</v>
      </c>
      <c r="AE24" s="459" t="str">
        <f>IFERROR(INDEX(Reit!$I:$I,MATCH(AF24,Reit!$F:$F,0)),"")</f>
        <v/>
      </c>
      <c r="AF24" s="460" t="str">
        <f t="shared" si="1"/>
        <v/>
      </c>
      <c r="AG24" s="459" t="str">
        <f>IFERROR(INDEX(Reit!$I:$I,MATCH(AH24,Reit!$F:$F,0)),"")</f>
        <v/>
      </c>
      <c r="AH24" s="460" t="str">
        <f t="shared" si="2"/>
        <v/>
      </c>
      <c r="AI24" s="459" t="str">
        <f>IFERROR(INDEX(Reit!$I:$I,MATCH(AJ24,Reit!$F:$F,0)),"")</f>
        <v/>
      </c>
      <c r="AJ24" s="460" t="str">
        <f t="shared" si="3"/>
        <v/>
      </c>
      <c r="AK24" s="459" t="str">
        <f>IFERROR(INDEX(Reit!$I:$I,MATCH(AL24,Reit!$F:$F,0)),"")</f>
        <v/>
      </c>
      <c r="AL24" s="460" t="str">
        <f t="shared" si="4"/>
        <v/>
      </c>
      <c r="AM24" s="459" t="str">
        <f>IFERROR(INDEX(Reit!$I:$I,MATCH(AN24,Reit!$F:$F,0)),"")</f>
        <v/>
      </c>
      <c r="AN24" s="460" t="str">
        <f t="shared" si="5"/>
        <v/>
      </c>
      <c r="AO24" s="459" t="str">
        <f>IFERROR(INDEX(Reit!$I:$I,MATCH(AP24,Reit!$F:$F,0)),"")</f>
        <v/>
      </c>
      <c r="AP24" s="460" t="str">
        <f t="shared" si="6"/>
        <v/>
      </c>
    </row>
    <row r="25" spans="1:42" hidden="1" x14ac:dyDescent="0.2">
      <c r="A25" s="550">
        <v>5</v>
      </c>
      <c r="B25" s="972"/>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c r="AD25" s="458">
        <f t="shared" si="7"/>
        <v>0</v>
      </c>
      <c r="AE25" s="459" t="str">
        <f>IFERROR(INDEX(Reit!$I:$I,MATCH(AF25,Reit!$F:$F,0)),"")</f>
        <v/>
      </c>
      <c r="AF25" s="460" t="str">
        <f t="shared" si="1"/>
        <v/>
      </c>
      <c r="AG25" s="459" t="str">
        <f>IFERROR(INDEX(Reit!$I:$I,MATCH(AH25,Reit!$F:$F,0)),"")</f>
        <v/>
      </c>
      <c r="AH25" s="460" t="str">
        <f t="shared" si="2"/>
        <v/>
      </c>
      <c r="AI25" s="459" t="str">
        <f>IFERROR(INDEX(Reit!$I:$I,MATCH(AJ25,Reit!$F:$F,0)),"")</f>
        <v/>
      </c>
      <c r="AJ25" s="460" t="str">
        <f t="shared" si="3"/>
        <v/>
      </c>
      <c r="AK25" s="459" t="str">
        <f>IFERROR(INDEX(Reit!$I:$I,MATCH(AL25,Reit!$F:$F,0)),"")</f>
        <v/>
      </c>
      <c r="AL25" s="460" t="str">
        <f t="shared" si="4"/>
        <v/>
      </c>
      <c r="AM25" s="459" t="str">
        <f>IFERROR(INDEX(Reit!$I:$I,MATCH(AN25,Reit!$F:$F,0)),"")</f>
        <v/>
      </c>
      <c r="AN25" s="460" t="str">
        <f t="shared" si="5"/>
        <v/>
      </c>
      <c r="AO25" s="459" t="str">
        <f>IFERROR(INDEX(Reit!$I:$I,MATCH(AP25,Reit!$F:$F,0)),"")</f>
        <v/>
      </c>
      <c r="AP25" s="460" t="str">
        <f t="shared" si="6"/>
        <v/>
      </c>
    </row>
    <row r="26" spans="1:42" hidden="1" x14ac:dyDescent="0.2">
      <c r="A26" s="615"/>
      <c r="B26" s="975"/>
      <c r="C26" s="597"/>
      <c r="D26" s="597"/>
      <c r="E26" s="597"/>
      <c r="F26" s="616"/>
      <c r="G26" s="616"/>
      <c r="H26" s="617"/>
      <c r="I26" s="587"/>
      <c r="J26" s="584"/>
      <c r="K26" s="584"/>
      <c r="L26" s="584"/>
      <c r="M26" s="584"/>
      <c r="N26" s="584"/>
      <c r="O26" s="584"/>
      <c r="P26" s="584"/>
      <c r="Q26" s="584"/>
      <c r="R26" s="588" t="s">
        <v>311</v>
      </c>
      <c r="S26" s="584"/>
      <c r="T26" s="584"/>
      <c r="U26" s="584"/>
      <c r="AD26" s="458">
        <f t="shared" si="7"/>
        <v>0</v>
      </c>
      <c r="AE26" s="459" t="str">
        <f>IFERROR(INDEX(Reit!$I:$I,MATCH(AF26,Reit!$F:$F,0)),"")</f>
        <v/>
      </c>
      <c r="AF26" s="460" t="str">
        <f t="shared" si="1"/>
        <v/>
      </c>
      <c r="AG26" s="459" t="str">
        <f>IFERROR(INDEX(Reit!$I:$I,MATCH(AH26,Reit!$F:$F,0)),"")</f>
        <v/>
      </c>
      <c r="AH26" s="460" t="str">
        <f t="shared" si="2"/>
        <v/>
      </c>
      <c r="AI26" s="459" t="str">
        <f>IFERROR(INDEX(Reit!$I:$I,MATCH(AJ26,Reit!$F:$F,0)),"")</f>
        <v/>
      </c>
      <c r="AJ26" s="460" t="str">
        <f t="shared" si="3"/>
        <v/>
      </c>
      <c r="AK26" s="459" t="str">
        <f>IFERROR(INDEX(Reit!$I:$I,MATCH(AL26,Reit!$F:$F,0)),"")</f>
        <v/>
      </c>
      <c r="AL26" s="460" t="str">
        <f t="shared" si="4"/>
        <v/>
      </c>
      <c r="AM26" s="459" t="str">
        <f>IFERROR(INDEX(Reit!$I:$I,MATCH(AN26,Reit!$F:$F,0)),"")</f>
        <v/>
      </c>
      <c r="AN26" s="460" t="str">
        <f t="shared" si="5"/>
        <v/>
      </c>
      <c r="AO26" s="459" t="str">
        <f>IFERROR(INDEX(Reit!$I:$I,MATCH(AP26,Reit!$F:$F,0)),"")</f>
        <v/>
      </c>
      <c r="AP26" s="460" t="str">
        <f t="shared" si="6"/>
        <v/>
      </c>
    </row>
    <row r="27" spans="1:42" hidden="1" x14ac:dyDescent="0.2">
      <c r="A27" s="550" t="s">
        <v>203</v>
      </c>
      <c r="B27" s="970"/>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58">
        <f t="shared" si="7"/>
        <v>0</v>
      </c>
      <c r="AE27" s="459" t="str">
        <f>IFERROR(INDEX(Reit!$I:$I,MATCH(AF27,Reit!$F:$F,0)),"")</f>
        <v/>
      </c>
      <c r="AF27" s="460" t="str">
        <f t="shared" si="1"/>
        <v/>
      </c>
      <c r="AG27" s="459" t="str">
        <f>IFERROR(INDEX(Reit!$I:$I,MATCH(AH27,Reit!$F:$F,0)),"")</f>
        <v/>
      </c>
      <c r="AH27" s="460" t="str">
        <f t="shared" si="2"/>
        <v/>
      </c>
      <c r="AI27" s="459" t="str">
        <f>IFERROR(INDEX(Reit!$I:$I,MATCH(AJ27,Reit!$F:$F,0)),"")</f>
        <v/>
      </c>
      <c r="AJ27" s="460" t="str">
        <f t="shared" si="3"/>
        <v/>
      </c>
      <c r="AK27" s="459" t="str">
        <f>IFERROR(INDEX(Reit!$I:$I,MATCH(AL27,Reit!$F:$F,0)),"")</f>
        <v/>
      </c>
      <c r="AL27" s="460" t="str">
        <f t="shared" si="4"/>
        <v/>
      </c>
      <c r="AM27" s="459" t="str">
        <f>IFERROR(INDEX(Reit!$I:$I,MATCH(AN27,Reit!$F:$F,0)),"")</f>
        <v/>
      </c>
      <c r="AN27" s="460" t="str">
        <f t="shared" si="5"/>
        <v/>
      </c>
      <c r="AO27" s="459" t="str">
        <f>IFERROR(INDEX(Reit!$I:$I,MATCH(AP27,Reit!$F:$F,0)),"")</f>
        <v/>
      </c>
      <c r="AP27" s="460" t="str">
        <f t="shared" si="6"/>
        <v/>
      </c>
    </row>
    <row r="28" spans="1:42" hidden="1" x14ac:dyDescent="0.2">
      <c r="A28" s="550">
        <v>1</v>
      </c>
      <c r="B28" s="976" t="s">
        <v>457</v>
      </c>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0.01</v>
      </c>
      <c r="T28" s="575" t="str">
        <f>Q28&amp;J28</f>
        <v>00</v>
      </c>
      <c r="U28" s="584"/>
      <c r="AD28" s="458">
        <f t="shared" ca="1" si="7"/>
        <v>303</v>
      </c>
      <c r="AE28" s="459">
        <f ca="1">IFERROR(INDEX(Reit!$I:$I,MATCH(AF28,Reit!$F:$F,0)),"")</f>
        <v>68</v>
      </c>
      <c r="AF28" s="460" t="str">
        <f t="shared" si="1"/>
        <v>Enn Tokman</v>
      </c>
      <c r="AG28" s="459" t="str">
        <f>IFERROR(INDEX(Reit!$I:$I,MATCH(AH28,Reit!$F:$F,0)),"")</f>
        <v/>
      </c>
      <c r="AH28" s="460" t="str">
        <f t="shared" si="2"/>
        <v>Sander Rose, Urmas Randlaine</v>
      </c>
      <c r="AI28" s="459">
        <f ca="1">IFERROR(INDEX(Reit!$I:$I,MATCH(AJ28,Reit!$F:$F,0)),"")</f>
        <v>156</v>
      </c>
      <c r="AJ28" s="460" t="str">
        <f t="shared" si="3"/>
        <v>Sander Rose</v>
      </c>
      <c r="AK28" s="459">
        <f ca="1">IFERROR(INDEX(Reit!$I:$I,MATCH(AL28,Reit!$F:$F,0)),"")</f>
        <v>79</v>
      </c>
      <c r="AL28" s="460" t="str">
        <f t="shared" si="4"/>
        <v>Urmas Randlaine</v>
      </c>
      <c r="AM28" s="459" t="str">
        <f>IFERROR(INDEX(Reit!$I:$I,MATCH(AN28,Reit!$F:$F,0)),"")</f>
        <v/>
      </c>
      <c r="AN28" s="460" t="str">
        <f t="shared" si="5"/>
        <v/>
      </c>
      <c r="AO28" s="459" t="str">
        <f>IFERROR(INDEX(Reit!$I:$I,MATCH(AP28,Reit!$F:$F,0)),"")</f>
        <v/>
      </c>
      <c r="AP28" s="460" t="str">
        <f t="shared" si="6"/>
        <v/>
      </c>
    </row>
    <row r="29" spans="1:42" hidden="1" x14ac:dyDescent="0.2">
      <c r="A29" s="550">
        <v>2</v>
      </c>
      <c r="B29" s="969" t="s">
        <v>458</v>
      </c>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0.01</v>
      </c>
      <c r="T29" s="575" t="str">
        <f>Q29&amp;J29</f>
        <v>00</v>
      </c>
      <c r="U29" s="584"/>
      <c r="AD29" s="458">
        <f t="shared" ca="1" si="7"/>
        <v>217</v>
      </c>
      <c r="AE29" s="459">
        <f ca="1">IFERROR(INDEX(Reit!$I:$I,MATCH(AF29,Reit!$F:$F,0)),"")</f>
        <v>74</v>
      </c>
      <c r="AF29" s="460" t="str">
        <f t="shared" si="1"/>
        <v>Johannes Neiland</v>
      </c>
      <c r="AG29" s="459" t="str">
        <f>IFERROR(INDEX(Reit!$I:$I,MATCH(AH29,Reit!$F:$F,0)),"")</f>
        <v/>
      </c>
      <c r="AH29" s="460" t="str">
        <f t="shared" si="2"/>
        <v>Oliver Ojasalu, Tõnis Neiland</v>
      </c>
      <c r="AI29" s="459">
        <f ca="1">IFERROR(INDEX(Reit!$I:$I,MATCH(AJ29,Reit!$F:$F,0)),"")</f>
        <v>27</v>
      </c>
      <c r="AJ29" s="460" t="str">
        <f t="shared" si="3"/>
        <v>Oliver Ojasalu</v>
      </c>
      <c r="AK29" s="459">
        <f ca="1">IFERROR(INDEX(Reit!$I:$I,MATCH(AL29,Reit!$F:$F,0)),"")</f>
        <v>116</v>
      </c>
      <c r="AL29" s="460" t="str">
        <f t="shared" si="4"/>
        <v>Tõnis Neiland</v>
      </c>
      <c r="AM29" s="459" t="str">
        <f>IFERROR(INDEX(Reit!$I:$I,MATCH(AN29,Reit!$F:$F,0)),"")</f>
        <v/>
      </c>
      <c r="AN29" s="460" t="str">
        <f t="shared" si="5"/>
        <v/>
      </c>
      <c r="AO29" s="459" t="str">
        <f>IFERROR(INDEX(Reit!$I:$I,MATCH(AP29,Reit!$F:$F,0)),"")</f>
        <v/>
      </c>
      <c r="AP29" s="460" t="str">
        <f t="shared" si="6"/>
        <v/>
      </c>
    </row>
    <row r="30" spans="1:42" hidden="1" x14ac:dyDescent="0.2">
      <c r="A30" s="550">
        <v>3</v>
      </c>
      <c r="B30" s="969" t="s">
        <v>459</v>
      </c>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0.01</v>
      </c>
      <c r="T30" s="575" t="str">
        <f>Q30&amp;J30</f>
        <v>00</v>
      </c>
      <c r="U30" s="584"/>
      <c r="AD30" s="458">
        <f t="shared" ca="1" si="7"/>
        <v>170</v>
      </c>
      <c r="AE30" s="459">
        <f ca="1">IFERROR(INDEX(Reit!$I:$I,MATCH(AF30,Reit!$F:$F,0)),"")</f>
        <v>44</v>
      </c>
      <c r="AF30" s="460" t="str">
        <f t="shared" si="1"/>
        <v>Illar Tõnurist</v>
      </c>
      <c r="AG30" s="459" t="str">
        <f>IFERROR(INDEX(Reit!$I:$I,MATCH(AH30,Reit!$F:$F,0)),"")</f>
        <v/>
      </c>
      <c r="AH30" s="460" t="str">
        <f t="shared" si="2"/>
        <v>Jaan Saar, Tarmo Bombe</v>
      </c>
      <c r="AI30" s="459">
        <f ca="1">IFERROR(INDEX(Reit!$I:$I,MATCH(AJ30,Reit!$F:$F,0)),"")</f>
        <v>88</v>
      </c>
      <c r="AJ30" s="460" t="str">
        <f t="shared" si="3"/>
        <v>Jaan Saar</v>
      </c>
      <c r="AK30" s="459">
        <f ca="1">IFERROR(INDEX(Reit!$I:$I,MATCH(AL30,Reit!$F:$F,0)),"")</f>
        <v>38</v>
      </c>
      <c r="AL30" s="460" t="str">
        <f t="shared" si="4"/>
        <v>Tarmo Bombe</v>
      </c>
      <c r="AM30" s="459" t="str">
        <f>IFERROR(INDEX(Reit!$I:$I,MATCH(AN30,Reit!$F:$F,0)),"")</f>
        <v/>
      </c>
      <c r="AN30" s="460" t="str">
        <f t="shared" si="5"/>
        <v/>
      </c>
      <c r="AO30" s="459" t="str">
        <f>IFERROR(INDEX(Reit!$I:$I,MATCH(AP30,Reit!$F:$F,0)),"")</f>
        <v/>
      </c>
      <c r="AP30" s="460" t="str">
        <f t="shared" si="6"/>
        <v/>
      </c>
    </row>
    <row r="31" spans="1:42" hidden="1" x14ac:dyDescent="0.2">
      <c r="A31" s="550">
        <v>4</v>
      </c>
      <c r="B31" s="972"/>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c r="AD31" s="458">
        <f t="shared" si="7"/>
        <v>0</v>
      </c>
      <c r="AE31" s="459" t="str">
        <f>IFERROR(INDEX(Reit!$I:$I,MATCH(AF31,Reit!$F:$F,0)),"")</f>
        <v/>
      </c>
      <c r="AF31" s="460" t="str">
        <f t="shared" si="1"/>
        <v/>
      </c>
      <c r="AG31" s="459" t="str">
        <f>IFERROR(INDEX(Reit!$I:$I,MATCH(AH31,Reit!$F:$F,0)),"")</f>
        <v/>
      </c>
      <c r="AH31" s="460" t="str">
        <f t="shared" si="2"/>
        <v/>
      </c>
      <c r="AI31" s="459" t="str">
        <f>IFERROR(INDEX(Reit!$I:$I,MATCH(AJ31,Reit!$F:$F,0)),"")</f>
        <v/>
      </c>
      <c r="AJ31" s="460" t="str">
        <f t="shared" si="3"/>
        <v/>
      </c>
      <c r="AK31" s="459" t="str">
        <f>IFERROR(INDEX(Reit!$I:$I,MATCH(AL31,Reit!$F:$F,0)),"")</f>
        <v/>
      </c>
      <c r="AL31" s="460" t="str">
        <f t="shared" si="4"/>
        <v/>
      </c>
      <c r="AM31" s="459" t="str">
        <f>IFERROR(INDEX(Reit!$I:$I,MATCH(AN31,Reit!$F:$F,0)),"")</f>
        <v/>
      </c>
      <c r="AN31" s="460" t="str">
        <f t="shared" si="5"/>
        <v/>
      </c>
      <c r="AO31" s="459" t="str">
        <f>IFERROR(INDEX(Reit!$I:$I,MATCH(AP31,Reit!$F:$F,0)),"")</f>
        <v/>
      </c>
      <c r="AP31" s="460" t="str">
        <f t="shared" si="6"/>
        <v/>
      </c>
    </row>
    <row r="32" spans="1:42" hidden="1" x14ac:dyDescent="0.2">
      <c r="A32" s="550">
        <v>5</v>
      </c>
      <c r="B32" s="972"/>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c r="AD32" s="458">
        <f t="shared" si="7"/>
        <v>0</v>
      </c>
      <c r="AE32" s="459" t="str">
        <f>IFERROR(INDEX(Reit!$I:$I,MATCH(AF32,Reit!$F:$F,0)),"")</f>
        <v/>
      </c>
      <c r="AF32" s="460" t="str">
        <f t="shared" si="1"/>
        <v/>
      </c>
      <c r="AG32" s="459" t="str">
        <f>IFERROR(INDEX(Reit!$I:$I,MATCH(AH32,Reit!$F:$F,0)),"")</f>
        <v/>
      </c>
      <c r="AH32" s="460" t="str">
        <f t="shared" si="2"/>
        <v/>
      </c>
      <c r="AI32" s="459" t="str">
        <f>IFERROR(INDEX(Reit!$I:$I,MATCH(AJ32,Reit!$F:$F,0)),"")</f>
        <v/>
      </c>
      <c r="AJ32" s="460" t="str">
        <f t="shared" si="3"/>
        <v/>
      </c>
      <c r="AK32" s="459" t="str">
        <f>IFERROR(INDEX(Reit!$I:$I,MATCH(AL32,Reit!$F:$F,0)),"")</f>
        <v/>
      </c>
      <c r="AL32" s="460" t="str">
        <f t="shared" si="4"/>
        <v/>
      </c>
      <c r="AM32" s="459" t="str">
        <f>IFERROR(INDEX(Reit!$I:$I,MATCH(AN32,Reit!$F:$F,0)),"")</f>
        <v/>
      </c>
      <c r="AN32" s="460" t="str">
        <f t="shared" si="5"/>
        <v/>
      </c>
      <c r="AO32" s="459" t="str">
        <f>IFERROR(INDEX(Reit!$I:$I,MATCH(AP32,Reit!$F:$F,0)),"")</f>
        <v/>
      </c>
      <c r="AP32" s="460" t="str">
        <f t="shared" si="6"/>
        <v/>
      </c>
    </row>
    <row r="33" spans="1:21"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row>
    <row r="34" spans="1:21" hidden="1" x14ac:dyDescent="0.2">
      <c r="P34" s="589" t="s">
        <v>294</v>
      </c>
      <c r="Q34" s="558" t="s">
        <v>183</v>
      </c>
      <c r="R34" s="558" t="b">
        <f>OR(AND(COUNTA(B35:B39)=3,COUNTA(C35:G39)=6),AND(COUNTA(B35:B39)=4,COUNTA(C35:G39)=12),AND(COUNTA(B35:B39)=5,COUNTA(C35:G39)=20))</f>
        <v>0</v>
      </c>
      <c r="S34" s="559" t="s">
        <v>295</v>
      </c>
      <c r="T34" s="560" t="s">
        <v>296</v>
      </c>
      <c r="U34" s="584"/>
    </row>
    <row r="35" spans="1:21"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21"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21"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21"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21"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21" hidden="1" x14ac:dyDescent="0.2">
      <c r="P40" s="584"/>
      <c r="Q40" s="584"/>
      <c r="R40" s="588" t="s">
        <v>311</v>
      </c>
      <c r="S40" s="584"/>
      <c r="T40" s="584"/>
      <c r="U40" s="584"/>
    </row>
    <row r="41" spans="1:21" hidden="1" x14ac:dyDescent="0.2">
      <c r="P41" s="589" t="s">
        <v>294</v>
      </c>
      <c r="Q41" s="558" t="s">
        <v>183</v>
      </c>
      <c r="R41" s="558" t="b">
        <f>OR(AND(COUNTA(B42:B46)=3,COUNTA(C42:G46)=6),AND(COUNTA(B42:B46)=4,COUNTA(C42:G46)=12),AND(COUNTA(B42:B46)=5,COUNTA(C42:G46)=20))</f>
        <v>0</v>
      </c>
      <c r="S41" s="559" t="s">
        <v>295</v>
      </c>
      <c r="T41" s="560" t="s">
        <v>296</v>
      </c>
      <c r="U41" s="584"/>
    </row>
    <row r="42" spans="1:21"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21"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21"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21"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21"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21" hidden="1" x14ac:dyDescent="0.2">
      <c r="P47" s="584"/>
      <c r="Q47" s="584"/>
      <c r="R47" s="588" t="s">
        <v>311</v>
      </c>
      <c r="S47" s="584"/>
      <c r="T47" s="584"/>
      <c r="U47" s="584"/>
    </row>
    <row r="48" spans="1:21"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451</v>
      </c>
      <c r="C300" s="981">
        <v>40</v>
      </c>
    </row>
    <row r="301" spans="1:3" x14ac:dyDescent="0.2">
      <c r="A301" s="449">
        <v>2</v>
      </c>
      <c r="B301" s="450" t="s">
        <v>452</v>
      </c>
      <c r="C301" s="981">
        <v>34</v>
      </c>
    </row>
    <row r="302" spans="1:3" x14ac:dyDescent="0.2">
      <c r="A302" s="449">
        <v>3</v>
      </c>
      <c r="B302" s="450" t="s">
        <v>453</v>
      </c>
      <c r="C302" s="981">
        <v>30</v>
      </c>
    </row>
    <row r="303" spans="1:3" x14ac:dyDescent="0.2">
      <c r="A303" s="449">
        <v>4</v>
      </c>
      <c r="B303" s="450" t="s">
        <v>454</v>
      </c>
      <c r="C303" s="981">
        <v>26</v>
      </c>
    </row>
    <row r="304" spans="1:3" x14ac:dyDescent="0.2">
      <c r="A304" s="449">
        <v>5</v>
      </c>
      <c r="B304" s="450" t="s">
        <v>455</v>
      </c>
      <c r="C304" s="981">
        <v>24</v>
      </c>
    </row>
    <row r="305" spans="1:3" x14ac:dyDescent="0.2">
      <c r="A305" s="449">
        <v>6</v>
      </c>
      <c r="B305" s="450" t="s">
        <v>456</v>
      </c>
      <c r="C305" s="981">
        <v>22</v>
      </c>
    </row>
    <row r="306" spans="1:3" x14ac:dyDescent="0.2">
      <c r="A306" s="449">
        <v>7</v>
      </c>
      <c r="B306" s="968" t="s">
        <v>460</v>
      </c>
      <c r="C306" s="981">
        <v>20</v>
      </c>
    </row>
    <row r="307" spans="1:3" x14ac:dyDescent="0.2">
      <c r="A307" s="449">
        <v>8</v>
      </c>
      <c r="B307" s="450" t="s">
        <v>440</v>
      </c>
      <c r="C307" s="981">
        <v>18</v>
      </c>
    </row>
    <row r="308" spans="1:3" x14ac:dyDescent="0.2">
      <c r="A308" s="449">
        <v>9</v>
      </c>
      <c r="B308" s="450" t="s">
        <v>435</v>
      </c>
      <c r="C308" s="981">
        <v>16</v>
      </c>
    </row>
    <row r="309" spans="1:3" x14ac:dyDescent="0.2">
      <c r="A309" s="449">
        <v>10</v>
      </c>
      <c r="B309" s="450" t="s">
        <v>457</v>
      </c>
      <c r="C309" s="981">
        <v>14</v>
      </c>
    </row>
    <row r="310" spans="1:3" x14ac:dyDescent="0.2">
      <c r="A310" s="449">
        <v>11</v>
      </c>
      <c r="B310" s="450" t="s">
        <v>458</v>
      </c>
      <c r="C310" s="981">
        <v>12</v>
      </c>
    </row>
    <row r="311" spans="1:3" x14ac:dyDescent="0.2">
      <c r="A311" s="449">
        <v>12</v>
      </c>
      <c r="B311" s="450" t="s">
        <v>459</v>
      </c>
      <c r="C311" s="981">
        <v>10</v>
      </c>
    </row>
  </sheetData>
  <conditionalFormatting sqref="D7 C8">
    <cfRule type="aboveAverage" dxfId="2726" priority="240"/>
  </conditionalFormatting>
  <conditionalFormatting sqref="E7 C9">
    <cfRule type="aboveAverage" dxfId="2725" priority="239"/>
  </conditionalFormatting>
  <conditionalFormatting sqref="F7 C10">
    <cfRule type="aboveAverage" dxfId="2724" priority="238"/>
  </conditionalFormatting>
  <conditionalFormatting sqref="E8 D9">
    <cfRule type="aboveAverage" dxfId="2723" priority="237"/>
  </conditionalFormatting>
  <conditionalFormatting sqref="G7 C11">
    <cfRule type="aboveAverage" dxfId="2722" priority="236"/>
  </conditionalFormatting>
  <conditionalFormatting sqref="F8 D10">
    <cfRule type="aboveAverage" dxfId="2721" priority="235"/>
  </conditionalFormatting>
  <conditionalFormatting sqref="G8 D11">
    <cfRule type="aboveAverage" dxfId="2720" priority="234"/>
  </conditionalFormatting>
  <conditionalFormatting sqref="F9 E10">
    <cfRule type="aboveAverage" dxfId="2719" priority="233"/>
  </conditionalFormatting>
  <conditionalFormatting sqref="G9 E11">
    <cfRule type="aboveAverage" dxfId="2718" priority="232"/>
  </conditionalFormatting>
  <conditionalFormatting sqref="F11 G10">
    <cfRule type="aboveAverage" dxfId="2717" priority="231"/>
  </conditionalFormatting>
  <conditionalFormatting sqref="D14 C15">
    <cfRule type="aboveAverage" dxfId="2716" priority="230"/>
  </conditionalFormatting>
  <conditionalFormatting sqref="E14 C16">
    <cfRule type="aboveAverage" dxfId="2715" priority="229"/>
  </conditionalFormatting>
  <conditionalFormatting sqref="F14 C17">
    <cfRule type="aboveAverage" dxfId="2714" priority="228"/>
  </conditionalFormatting>
  <conditionalFormatting sqref="E15 D16">
    <cfRule type="aboveAverage" dxfId="2713" priority="227"/>
  </conditionalFormatting>
  <conditionalFormatting sqref="G14 C18">
    <cfRule type="aboveAverage" dxfId="2712" priority="226"/>
  </conditionalFormatting>
  <conditionalFormatting sqref="F15 D17">
    <cfRule type="aboveAverage" dxfId="2711" priority="225"/>
  </conditionalFormatting>
  <conditionalFormatting sqref="G15 D18">
    <cfRule type="aboveAverage" dxfId="2710" priority="224"/>
  </conditionalFormatting>
  <conditionalFormatting sqref="F16 E17">
    <cfRule type="aboveAverage" dxfId="2709" priority="223"/>
  </conditionalFormatting>
  <conditionalFormatting sqref="G16 E18">
    <cfRule type="aboveAverage" dxfId="2708" priority="222"/>
  </conditionalFormatting>
  <conditionalFormatting sqref="F18 G17">
    <cfRule type="aboveAverage" dxfId="2707" priority="221"/>
  </conditionalFormatting>
  <conditionalFormatting sqref="D21 C22">
    <cfRule type="aboveAverage" dxfId="2706" priority="220"/>
  </conditionalFormatting>
  <conditionalFormatting sqref="E21 C23">
    <cfRule type="aboveAverage" dxfId="2705" priority="219"/>
  </conditionalFormatting>
  <conditionalFormatting sqref="F21 C24">
    <cfRule type="aboveAverage" dxfId="2704" priority="218"/>
  </conditionalFormatting>
  <conditionalFormatting sqref="E22 D23">
    <cfRule type="aboveAverage" dxfId="2703" priority="217"/>
  </conditionalFormatting>
  <conditionalFormatting sqref="G21 C25">
    <cfRule type="aboveAverage" dxfId="2702" priority="216"/>
  </conditionalFormatting>
  <conditionalFormatting sqref="F22 D24">
    <cfRule type="aboveAverage" dxfId="2701" priority="215"/>
  </conditionalFormatting>
  <conditionalFormatting sqref="G22 D25">
    <cfRule type="aboveAverage" dxfId="2700" priority="214"/>
  </conditionalFormatting>
  <conditionalFormatting sqref="F23 E24">
    <cfRule type="aboveAverage" dxfId="2699" priority="213"/>
  </conditionalFormatting>
  <conditionalFormatting sqref="G23 E25">
    <cfRule type="aboveAverage" dxfId="2698" priority="212"/>
  </conditionalFormatting>
  <conditionalFormatting sqref="F25 G24">
    <cfRule type="aboveAverage" dxfId="2697" priority="211"/>
  </conditionalFormatting>
  <conditionalFormatting sqref="D28 C29">
    <cfRule type="aboveAverage" dxfId="2696" priority="210"/>
  </conditionalFormatting>
  <conditionalFormatting sqref="E28 C30">
    <cfRule type="aboveAverage" dxfId="2695" priority="209"/>
  </conditionalFormatting>
  <conditionalFormatting sqref="F28 C31">
    <cfRule type="aboveAverage" dxfId="2694" priority="208"/>
  </conditionalFormatting>
  <conditionalFormatting sqref="E29 D30">
    <cfRule type="aboveAverage" dxfId="2693" priority="207"/>
  </conditionalFormatting>
  <conditionalFormatting sqref="G28 C32">
    <cfRule type="aboveAverage" dxfId="2692" priority="206"/>
  </conditionalFormatting>
  <conditionalFormatting sqref="F29 D31">
    <cfRule type="aboveAverage" dxfId="2691" priority="205"/>
  </conditionalFormatting>
  <conditionalFormatting sqref="G29 D32">
    <cfRule type="aboveAverage" dxfId="2690" priority="204"/>
  </conditionalFormatting>
  <conditionalFormatting sqref="F30 E31">
    <cfRule type="aboveAverage" dxfId="2689" priority="203"/>
  </conditionalFormatting>
  <conditionalFormatting sqref="G30 E32">
    <cfRule type="aboveAverage" dxfId="2688" priority="202"/>
  </conditionalFormatting>
  <conditionalFormatting sqref="F32 G31">
    <cfRule type="aboveAverage" dxfId="2687" priority="201"/>
  </conditionalFormatting>
  <conditionalFormatting sqref="I28:I32">
    <cfRule type="expression" dxfId="2686" priority="195">
      <formula>FIND(2,I28,1)</formula>
    </cfRule>
    <cfRule type="expression" dxfId="2685" priority="196">
      <formula>FIND(1,I28,1)</formula>
    </cfRule>
  </conditionalFormatting>
  <conditionalFormatting sqref="I21:I25">
    <cfRule type="expression" dxfId="2684" priority="197">
      <formula>FIND(2,I21,1)</formula>
    </cfRule>
    <cfRule type="expression" dxfId="2683" priority="198">
      <formula>FIND(1,I21,1)</formula>
    </cfRule>
  </conditionalFormatting>
  <conditionalFormatting sqref="I7:I11">
    <cfRule type="expression" dxfId="2682" priority="199">
      <formula>FIND(2,I7,1)</formula>
    </cfRule>
    <cfRule type="expression" dxfId="2681" priority="200">
      <formula>FIND(1,I7,1)</formula>
    </cfRule>
  </conditionalFormatting>
  <conditionalFormatting sqref="H14:H18">
    <cfRule type="expression" dxfId="2680" priority="139">
      <formula>AND(Q14=4,IF(COUNTIF(Q$14:Q$18,"=4")&gt;=2,TRUE))</formula>
    </cfRule>
    <cfRule type="expression" dxfId="2679" priority="241">
      <formula>AND(Q14=3,IF(COUNTIF(Q$14:Q$18,"=3")&gt;=2,TRUE))</formula>
    </cfRule>
    <cfRule type="expression" dxfId="2678" priority="242">
      <formula>AND(Q14=2,IF(COUNTIF(Q$14:Q$18,"=2")&gt;=2,TRUE))</formula>
    </cfRule>
    <cfRule type="expression" dxfId="2677" priority="243">
      <formula>AND(Q14=1,IF(COUNTIF(Q$14:Q$18,"=1")&gt;=2,TRUE))</formula>
    </cfRule>
  </conditionalFormatting>
  <conditionalFormatting sqref="B7:B33">
    <cfRule type="duplicateValues" dxfId="2676" priority="194"/>
  </conditionalFormatting>
  <conditionalFormatting sqref="L7:L11">
    <cfRule type="expression" dxfId="2675" priority="177">
      <formula>K7=0</formula>
    </cfRule>
    <cfRule type="expression" dxfId="2674" priority="186">
      <formula>IF(COUNTIF(J$7:J$11,"=2")=2,TRUE)</formula>
    </cfRule>
    <cfRule type="expression" dxfId="2673" priority="187">
      <formula>IF(COUNTIF(J$7:J$11,"=1")=2,TRUE)</formula>
    </cfRule>
    <cfRule type="expression" dxfId="2672" priority="188">
      <formula>AND(IF(COUNTIF(Q$7:Q$11,"=1")=2,TRUE),IF(COUNTIF(Q$7:Q$11,"=2")=2,TRUE))</formula>
    </cfRule>
    <cfRule type="expression" dxfId="2671" priority="189">
      <formula>AND(Q7=4,IF(COUNTIF(Q$7:Q$11,"=4")=1,TRUE))</formula>
    </cfRule>
    <cfRule type="expression" dxfId="2670" priority="190">
      <formula>AND(Q7=3,IF(COUNTIF(Q$7:Q$11,"=3")=1,TRUE))</formula>
    </cfRule>
    <cfRule type="expression" dxfId="2669" priority="191">
      <formula>AND(Q7=2,IF(COUNTIF(Q$7:Q$11,"=2")=1,TRUE))</formula>
    </cfRule>
    <cfRule type="expression" dxfId="2668" priority="192">
      <formula>AND(Q7=1,IF(COUNTIF(Q$7:Q$11,"=1")=1,TRUE))</formula>
    </cfRule>
    <cfRule type="expression" dxfId="2667" priority="193">
      <formula>OR(Q7=0,Q7=5)</formula>
    </cfRule>
  </conditionalFormatting>
  <conditionalFormatting sqref="O7:O11">
    <cfRule type="expression" dxfId="2666" priority="185">
      <formula>OR(AND(J7=1,K7=1,L7=0,M7=1),AND(J7=2,K7=2,L7=0,M7=2))</formula>
    </cfRule>
  </conditionalFormatting>
  <conditionalFormatting sqref="M7:M11">
    <cfRule type="expression" dxfId="2665" priority="178">
      <formula>AND(L7&gt;0,IF(COUNTIF(L$7:L$11,L7)&gt;1,TRUE,FALSE))</formula>
    </cfRule>
    <cfRule type="expression" dxfId="2664" priority="179">
      <formula>AND(IF(COUNTIF(R$7:R$11,"=1")=2,TRUE),IF(COUNTIF(R$7:R$11,"=2")=2,TRUE))</formula>
    </cfRule>
    <cfRule type="expression" dxfId="2663" priority="180">
      <formula>AND(R7=4,IF(COUNTIF(R$7:R$11,"=4")=1,TRUE))</formula>
    </cfRule>
    <cfRule type="expression" dxfId="2662" priority="181">
      <formula>AND(R7=3,IF(COUNTIF(R$7:R$11,"=3")=1,TRUE))</formula>
    </cfRule>
    <cfRule type="expression" dxfId="2661" priority="182">
      <formula>AND(R7=2,IF(COUNTIF(R$7:R$11,"=2")=1,TRUE))</formula>
    </cfRule>
    <cfRule type="expression" dxfId="2660" priority="183">
      <formula>AND(R7=1,IF(COUNTIF(R$7:R$11,"=1")=1,TRUE))</formula>
    </cfRule>
    <cfRule type="expression" dxfId="2659" priority="184">
      <formula>OR(R7=0,R7=5)</formula>
    </cfRule>
  </conditionalFormatting>
  <conditionalFormatting sqref="J7:J11">
    <cfRule type="expression" dxfId="2658" priority="173">
      <formula>AND(Q7=4,IF(COUNTIF(Q$7:Q$11,"=4")&gt;=2,TRUE))</formula>
    </cfRule>
    <cfRule type="expression" dxfId="2657" priority="174">
      <formula>AND(Q7=3,IF(COUNTIF(Q$7:Q$11,"=3")&gt;=2,TRUE))</formula>
    </cfRule>
    <cfRule type="expression" dxfId="2656" priority="175">
      <formula>AND(Q7=2,IF(COUNTIF(Q$7:Q$11,"=2")&gt;=2,TRUE))</formula>
    </cfRule>
    <cfRule type="expression" dxfId="2655" priority="176">
      <formula>AND(Q7=1,IF(COUNTIF(Q$7:Q$11,"=1")&gt;=2,TRUE))</formula>
    </cfRule>
  </conditionalFormatting>
  <conditionalFormatting sqref="H7:H11">
    <cfRule type="expression" dxfId="2654" priority="140">
      <formula>AND(Q7=4,IF(COUNTIF(Q$7:Q$11,"=4")&gt;=2,TRUE))</formula>
    </cfRule>
    <cfRule type="expression" dxfId="2653" priority="244">
      <formula>AND(Q7=3,IF(COUNTIF(Q$7:Q$11,"=3")&gt;=2,TRUE))</formula>
    </cfRule>
    <cfRule type="expression" dxfId="2652" priority="245">
      <formula>AND(Q7=2,IF(COUNTIF(Q$7:Q$11,"=2")&gt;=2,TRUE))</formula>
    </cfRule>
    <cfRule type="expression" dxfId="2651" priority="246">
      <formula>AND(Q7=1,IF(COUNTIF(Q$7:Q$11,"=1")&gt;=2,TRUE))</formula>
    </cfRule>
  </conditionalFormatting>
  <conditionalFormatting sqref="K7:K11">
    <cfRule type="expression" dxfId="2650" priority="247">
      <formula>AND(J7&gt;0,IF(COUNTIF(J$7:J$11,"=1")=2,TRUE),IF(COUNTIF(J$7:J$11,"=2")=2,TRUE))</formula>
    </cfRule>
    <cfRule type="expression" dxfId="2649" priority="248">
      <formula>IF(COUNTIF(L$7:L$11,"=2")=2,TRUE)</formula>
    </cfRule>
    <cfRule type="expression" dxfId="2648" priority="249">
      <formula>IF(COUNTIF(L$7:L$11,"=1")=2,TRUE)</formula>
    </cfRule>
    <cfRule type="expression" dxfId="2647" priority="250">
      <formula>AND(IF(COUNTIF(R$7:R$11,"=1")=2,TRUE),IF(COUNTIF(S$7:S$11,"=2")=2,TRUE))</formula>
    </cfRule>
    <cfRule type="expression" dxfId="2646" priority="251">
      <formula>AND(R7=4,IF(COUNTIF(R$7:R$11,"=4")=1,TRUE))</formula>
    </cfRule>
    <cfRule type="expression" dxfId="2645" priority="252">
      <formula>AND(R7=3,IF(COUNTIF(R$7:R$11,"=3")=1,TRUE))</formula>
    </cfRule>
    <cfRule type="expression" dxfId="2644" priority="253">
      <formula>AND(R7=2,IF(COUNTIF(R$7:R$11,"=2")=1,TRUE))</formula>
    </cfRule>
    <cfRule type="expression" dxfId="2643" priority="254">
      <formula>AND(R7=1,IF(COUNTIF(R$7:R$11,"=1")=1,TRUE))</formula>
    </cfRule>
    <cfRule type="expression" dxfId="2642" priority="255">
      <formula>OR(R7=0,R7=5)</formula>
    </cfRule>
  </conditionalFormatting>
  <conditionalFormatting sqref="I14:I18">
    <cfRule type="expression" dxfId="2641" priority="162">
      <formula>FIND(2,I14,1)</formula>
    </cfRule>
    <cfRule type="expression" dxfId="2640" priority="163">
      <formula>FIND(1,I14,1)</formula>
    </cfRule>
  </conditionalFormatting>
  <conditionalFormatting sqref="L14:L18">
    <cfRule type="expression" dxfId="2639" priority="145">
      <formula>K14=0</formula>
    </cfRule>
    <cfRule type="expression" dxfId="2638" priority="154">
      <formula>IF(COUNTIF(J$14:J$18,"=2")=2,TRUE)</formula>
    </cfRule>
    <cfRule type="expression" dxfId="2637" priority="155">
      <formula>IF(COUNTIF(J$14:J$18,"=1")=2,TRUE)</formula>
    </cfRule>
    <cfRule type="expression" dxfId="2636" priority="156">
      <formula>AND(IF(COUNTIF(Q$14:Q$18,"=1")=2,TRUE),IF(COUNTIF(Q$14:Q$18,"=2")=2,TRUE))</formula>
    </cfRule>
    <cfRule type="expression" dxfId="2635" priority="157">
      <formula>AND(Q14=4,IF(COUNTIF(Q$14:Q$18,"=4")=1,TRUE))</formula>
    </cfRule>
    <cfRule type="expression" dxfId="2634" priority="158">
      <formula>AND(Q14=3,IF(COUNTIF(Q$14:Q$18,"=3")=1,TRUE))</formula>
    </cfRule>
    <cfRule type="expression" dxfId="2633" priority="159">
      <formula>AND(Q14=2,IF(COUNTIF(Q$14:Q$18,"=2")=1,TRUE))</formula>
    </cfRule>
    <cfRule type="expression" dxfId="2632" priority="160">
      <formula>AND(Q14=1,IF(COUNTIF(Q$14:Q$18,"=1")=1,TRUE))</formula>
    </cfRule>
    <cfRule type="expression" dxfId="2631" priority="161">
      <formula>OR(Q14=0,Q14=5)</formula>
    </cfRule>
  </conditionalFormatting>
  <conditionalFormatting sqref="O14:O18">
    <cfRule type="expression" dxfId="2630" priority="153">
      <formula>OR(AND(J14=1,K14=1,L14=0,M14=1),AND(J14=2,K14=2,L14=0,M14=2))</formula>
    </cfRule>
  </conditionalFormatting>
  <conditionalFormatting sqref="M14:M18">
    <cfRule type="expression" dxfId="2629" priority="146">
      <formula>AND(L14&gt;0,IF(COUNTIF(L$14:L$18,L14)&gt;1,TRUE,FALSE))</formula>
    </cfRule>
    <cfRule type="expression" dxfId="2628" priority="147">
      <formula>AND(IF(COUNTIF(R$14:R$18,"=1")=2,TRUE),IF(COUNTIF(R$14:R$18,"=2")=2,TRUE))</formula>
    </cfRule>
    <cfRule type="expression" dxfId="2627" priority="148">
      <formula>AND(R14=4,IF(COUNTIF(R$14:R$18,"=4")=1,TRUE))</formula>
    </cfRule>
    <cfRule type="expression" dxfId="2626" priority="149">
      <formula>AND(R14=3,IF(COUNTIF(R$14:R$18,"=3")=1,TRUE))</formula>
    </cfRule>
    <cfRule type="expression" dxfId="2625" priority="150">
      <formula>AND(R14=2,IF(COUNTIF(R$14:R$18,"=2")=1,TRUE))</formula>
    </cfRule>
    <cfRule type="expression" dxfId="2624" priority="151">
      <formula>AND(R14=1,IF(COUNTIF(R$14:R$18,"=1")=1,TRUE))</formula>
    </cfRule>
    <cfRule type="expression" dxfId="2623" priority="152">
      <formula>OR(R14=0,R14=5)</formula>
    </cfRule>
  </conditionalFormatting>
  <conditionalFormatting sqref="J14:J18">
    <cfRule type="expression" dxfId="2622" priority="141">
      <formula>AND(Q14=4,IF(COUNTIF(Q$14:Q$18,"=4")&gt;=2,TRUE))</formula>
    </cfRule>
    <cfRule type="expression" dxfId="2621" priority="142">
      <formula>AND(Q14=3,IF(COUNTIF(Q$14:Q$18,"=3")&gt;=2,TRUE))</formula>
    </cfRule>
    <cfRule type="expression" dxfId="2620" priority="143">
      <formula>AND(Q14=2,IF(COUNTIF(Q$14:Q$18,"=2")&gt;=2,TRUE))</formula>
    </cfRule>
    <cfRule type="expression" dxfId="2619" priority="144">
      <formula>AND(Q14=1,IF(COUNTIF(Q$14:Q$18,"=1")&gt;=2,TRUE))</formula>
    </cfRule>
  </conditionalFormatting>
  <conditionalFormatting sqref="K14:K18">
    <cfRule type="expression" dxfId="2618" priority="164">
      <formula>AND(J14&gt;0,IF(COUNTIF(J$14:J$18,"=1")=2,TRUE),IF(COUNTIF(J$14:J$18,"=2")=2,TRUE))</formula>
    </cfRule>
    <cfRule type="expression" dxfId="2617" priority="165">
      <formula>IF(COUNTIF(L$14:L$18,"=2")=2,TRUE)</formula>
    </cfRule>
    <cfRule type="expression" dxfId="2616" priority="166">
      <formula>IF(COUNTIF(L$14:L$18,"=1")=2,TRUE)</formula>
    </cfRule>
    <cfRule type="expression" dxfId="2615" priority="167">
      <formula>AND(IF(COUNTIF(R$14:R$18,"=1")=2,TRUE),IF(COUNTIF(S$14:S$18,"=2")=2,TRUE))</formula>
    </cfRule>
    <cfRule type="expression" dxfId="2614" priority="168">
      <formula>AND(R14=4,IF(COUNTIF(R$14:R$18,"=4")=1,TRUE))</formula>
    </cfRule>
    <cfRule type="expression" dxfId="2613" priority="169">
      <formula>AND(R14=3,IF(COUNTIF(R$14:R$18,"=3")=1,TRUE))</formula>
    </cfRule>
    <cfRule type="expression" dxfId="2612" priority="170">
      <formula>AND(R14=2,IF(COUNTIF(R$14:R$18,"=2")=1,TRUE))</formula>
    </cfRule>
    <cfRule type="expression" dxfId="2611" priority="171">
      <formula>AND(R14=1,IF(COUNTIF(R$14:R$18,"=1")=1,TRUE))</formula>
    </cfRule>
    <cfRule type="expression" dxfId="2610" priority="172">
      <formula>OR(R14=0,R14=5)</formula>
    </cfRule>
  </conditionalFormatting>
  <conditionalFormatting sqref="L21:L25">
    <cfRule type="expression" dxfId="2609" priority="113">
      <formula>K21=0</formula>
    </cfRule>
    <cfRule type="expression" dxfId="2608" priority="122">
      <formula>IF(COUNTIF(J$21:J$25,"=2")=2,TRUE)</formula>
    </cfRule>
    <cfRule type="expression" dxfId="2607" priority="123">
      <formula>IF(COUNTIF(J$21:J$25,"=1")=2,TRUE)</formula>
    </cfRule>
    <cfRule type="expression" dxfId="2606" priority="124">
      <formula>AND(IF(COUNTIF(Q$21:Q$25,"=1")=2,TRUE),IF(COUNTIF(Q$21:Q$25,"=2")=2,TRUE))</formula>
    </cfRule>
    <cfRule type="expression" dxfId="2605" priority="125">
      <formula>AND(Q21=4,IF(COUNTIF(Q$21:Q$25,"=4")=1,TRUE))</formula>
    </cfRule>
    <cfRule type="expression" dxfId="2604" priority="126">
      <formula>AND(Q21=3,IF(COUNTIF(Q$21:Q$25,"=3")=1,TRUE))</formula>
    </cfRule>
    <cfRule type="expression" dxfId="2603" priority="127">
      <formula>AND(Q21=2,IF(COUNTIF(Q$21:Q$25,"=2")=1,TRUE))</formula>
    </cfRule>
    <cfRule type="expression" dxfId="2602" priority="128">
      <formula>AND(Q21=1,IF(COUNTIF(Q$21:Q$25,"=1")=1,TRUE))</formula>
    </cfRule>
    <cfRule type="expression" dxfId="2601" priority="129">
      <formula>OR(Q21=0,Q21=5)</formula>
    </cfRule>
  </conditionalFormatting>
  <conditionalFormatting sqref="O21:O25">
    <cfRule type="expression" dxfId="2600" priority="121">
      <formula>OR(AND(J21=1,K21=1,L21=0,M21=1),AND(J21=2,K21=2,L21=0,M21=2))</formula>
    </cfRule>
  </conditionalFormatting>
  <conditionalFormatting sqref="M21:M25">
    <cfRule type="expression" dxfId="2599" priority="114">
      <formula>AND(L21&gt;0,IF(COUNTIF(L$21:L$25,L21)&gt;1,TRUE,FALSE))</formula>
    </cfRule>
    <cfRule type="expression" dxfId="2598" priority="115">
      <formula>AND(IF(COUNTIF(R$21:R$25,"=1")=2,TRUE),IF(COUNTIF(R$21:R$25,"=2")=2,TRUE))</formula>
    </cfRule>
    <cfRule type="expression" dxfId="2597" priority="116">
      <formula>AND(R21=4,IF(COUNTIF(R$21:R$25,"=4")=1,TRUE))</formula>
    </cfRule>
    <cfRule type="expression" dxfId="2596" priority="117">
      <formula>AND(R21=3,IF(COUNTIF(R$21:R$25,"=3")=1,TRUE))</formula>
    </cfRule>
    <cfRule type="expression" dxfId="2595" priority="118">
      <formula>AND(R21=2,IF(COUNTIF(R$21:R$25,"=2")=1,TRUE))</formula>
    </cfRule>
    <cfRule type="expression" dxfId="2594" priority="119">
      <formula>AND(R21=1,IF(COUNTIF(R$21:R$25,"=1")=1,TRUE))</formula>
    </cfRule>
    <cfRule type="expression" dxfId="2593" priority="120">
      <formula>OR(R21=0,R21=5)</formula>
    </cfRule>
  </conditionalFormatting>
  <conditionalFormatting sqref="J21:J25">
    <cfRule type="expression" dxfId="2592" priority="109">
      <formula>AND(Q21=4,IF(COUNTIF(Q$21:Q$25,"=4")&gt;=2,TRUE))</formula>
    </cfRule>
    <cfRule type="expression" dxfId="2591" priority="110">
      <formula>AND(Q21=3,IF(COUNTIF(Q$21:Q$25,"=3")&gt;=2,TRUE))</formula>
    </cfRule>
    <cfRule type="expression" dxfId="2590" priority="111">
      <formula>AND(Q21=2,IF(COUNTIF(Q$21:Q$25,"=2")&gt;=2,TRUE))</formula>
    </cfRule>
    <cfRule type="expression" dxfId="2589" priority="112">
      <formula>AND(Q21=1,IF(COUNTIF(Q$21:Q$25,"=1")&gt;=2,TRUE))</formula>
    </cfRule>
  </conditionalFormatting>
  <conditionalFormatting sqref="K21:K25">
    <cfRule type="expression" dxfId="2588" priority="130">
      <formula>AND(J21&gt;0,IF(COUNTIF(J$21:J$25,"=1")=2,TRUE),IF(COUNTIF(J$21:J$25,"=2")=2,TRUE))</formula>
    </cfRule>
    <cfRule type="expression" dxfId="2587" priority="131">
      <formula>IF(COUNTIF(L$21:L$25,"=2")=2,TRUE)</formula>
    </cfRule>
    <cfRule type="expression" dxfId="2586" priority="132">
      <formula>IF(COUNTIF(L$21:L$25,"=1")=2,TRUE)</formula>
    </cfRule>
    <cfRule type="expression" dxfId="2585" priority="133">
      <formula>AND(IF(COUNTIF(R$21:R$25,"=1")=2,TRUE),IF(COUNTIF(S$21:S$25,"=2")=2,TRUE))</formula>
    </cfRule>
    <cfRule type="expression" dxfId="2584" priority="134">
      <formula>AND(R21=4,IF(COUNTIF(R$21:R$25,"=4")=1,TRUE))</formula>
    </cfRule>
    <cfRule type="expression" dxfId="2583" priority="135">
      <formula>AND(R21=3,IF(COUNTIF(R$21:R$25,"=3")=1,TRUE))</formula>
    </cfRule>
    <cfRule type="expression" dxfId="2582" priority="136">
      <formula>AND(R21=2,IF(COUNTIF(R$21:R$25,"=2")=1,TRUE))</formula>
    </cfRule>
    <cfRule type="expression" dxfId="2581" priority="137">
      <formula>AND(R21=1,IF(COUNTIF(R$21:R$25,"=1")=1,TRUE))</formula>
    </cfRule>
    <cfRule type="expression" dxfId="2580" priority="138">
      <formula>OR(R21=0,R21=5)</formula>
    </cfRule>
  </conditionalFormatting>
  <conditionalFormatting sqref="H21:H25">
    <cfRule type="expression" dxfId="2579" priority="105">
      <formula>AND(Q21=4,IF(COUNTIF(Q$21:Q$25,"=4")&gt;=2,TRUE))</formula>
    </cfRule>
    <cfRule type="expression" dxfId="2578" priority="106">
      <formula>AND(Q21=3,IF(COUNTIF(Q$21:Q$25,"=3")&gt;=2,TRUE))</formula>
    </cfRule>
    <cfRule type="expression" dxfId="2577" priority="107">
      <formula>AND(Q21=2,IF(COUNTIF(Q$21:Q$25,"=2")&gt;=2,TRUE))</formula>
    </cfRule>
    <cfRule type="expression" dxfId="2576" priority="108">
      <formula>AND(Q21=1,IF(COUNTIF(Q$21:Q$25,"=1")&gt;=2,TRUE))</formula>
    </cfRule>
  </conditionalFormatting>
  <conditionalFormatting sqref="L28:L32">
    <cfRule type="expression" dxfId="2575" priority="79">
      <formula>K28=0</formula>
    </cfRule>
    <cfRule type="expression" dxfId="2574" priority="88">
      <formula>IF(COUNTIF(J$28:J$32,"=2")=2,TRUE)</formula>
    </cfRule>
    <cfRule type="expression" dxfId="2573" priority="89">
      <formula>IF(COUNTIF(J$28:J$32,"=1")=2,TRUE)</formula>
    </cfRule>
    <cfRule type="expression" dxfId="2572" priority="90">
      <formula>AND(IF(COUNTIF(Q$28:Q$32,"=1")=2,TRUE),IF(COUNTIF(Q$28:Q$32,"=2")=2,TRUE))</formula>
    </cfRule>
    <cfRule type="expression" dxfId="2571" priority="91">
      <formula>AND(Q28=4,IF(COUNTIF(Q$28:Q$32,"=4")=1,TRUE))</formula>
    </cfRule>
    <cfRule type="expression" dxfId="2570" priority="92">
      <formula>AND(Q28=3,IF(COUNTIF(Q$28:Q$32,"=3")=1,TRUE))</formula>
    </cfRule>
    <cfRule type="expression" dxfId="2569" priority="93">
      <formula>AND(Q28=2,IF(COUNTIF(Q$28:Q$32,"=2")=1,TRUE))</formula>
    </cfRule>
    <cfRule type="expression" dxfId="2568" priority="94">
      <formula>AND(Q28=1,IF(COUNTIF(Q$28:Q$32,"=1")=1,TRUE))</formula>
    </cfRule>
    <cfRule type="expression" dxfId="2567" priority="95">
      <formula>OR(Q28=0,Q28=5)</formula>
    </cfRule>
  </conditionalFormatting>
  <conditionalFormatting sqref="O28:O32">
    <cfRule type="expression" dxfId="2566" priority="87">
      <formula>OR(AND(J28=1,K28=1,L28=0,M28=1),AND(J28=2,K28=2,L28=0,M28=2))</formula>
    </cfRule>
  </conditionalFormatting>
  <conditionalFormatting sqref="M28:M32">
    <cfRule type="expression" dxfId="2565" priority="80">
      <formula>AND(L28&gt;0,IF(COUNTIF(L$28:L$32,L28)&gt;1,TRUE,FALSE))</formula>
    </cfRule>
    <cfRule type="expression" dxfId="2564" priority="81">
      <formula>AND(IF(COUNTIF(R$28:R$32,"=1")=2,TRUE),IF(COUNTIF(R$28:R$32,"=2")=2,TRUE))</formula>
    </cfRule>
    <cfRule type="expression" dxfId="2563" priority="82">
      <formula>AND(R28=4,IF(COUNTIF(R$28:R$32,"=4")=1,TRUE))</formula>
    </cfRule>
    <cfRule type="expression" dxfId="2562" priority="83">
      <formula>AND(R28=3,IF(COUNTIF(R$28:R$32,"=3")=1,TRUE))</formula>
    </cfRule>
    <cfRule type="expression" dxfId="2561" priority="84">
      <formula>AND(R28=2,IF(COUNTIF(R$28:R$32,"=2")=1,TRUE))</formula>
    </cfRule>
    <cfRule type="expression" dxfId="2560" priority="85">
      <formula>AND(R28=1,IF(COUNTIF(R$28:R$32,"=1")=1,TRUE))</formula>
    </cfRule>
    <cfRule type="expression" dxfId="2559" priority="86">
      <formula>OR(R28=0,R28=5)</formula>
    </cfRule>
  </conditionalFormatting>
  <conditionalFormatting sqref="J28:J32">
    <cfRule type="expression" dxfId="2558" priority="75">
      <formula>AND(Q28=4,IF(COUNTIF(Q$28:Q$32,"=4")&gt;=2,TRUE))</formula>
    </cfRule>
    <cfRule type="expression" dxfId="2557" priority="76">
      <formula>AND(Q28=3,IF(COUNTIF(Q$28:Q$32,"=3")&gt;=2,TRUE))</formula>
    </cfRule>
    <cfRule type="expression" dxfId="2556" priority="77">
      <formula>AND(Q28=2,IF(COUNTIF(Q$28:Q$32,"=2")&gt;=2,TRUE))</formula>
    </cfRule>
    <cfRule type="expression" dxfId="2555" priority="78">
      <formula>AND(Q28=1,IF(COUNTIF(Q$28:Q$32,"=1")&gt;=2,TRUE))</formula>
    </cfRule>
  </conditionalFormatting>
  <conditionalFormatting sqref="K28:K32">
    <cfRule type="expression" dxfId="2554" priority="96">
      <formula>AND(J28&gt;0,IF(COUNTIF(J$28:J$32,"=1")=2,TRUE),IF(COUNTIF(J$28:J$32,"=2")=2,TRUE))</formula>
    </cfRule>
    <cfRule type="expression" dxfId="2553" priority="97">
      <formula>IF(COUNTIF(L$28:L$32,"=2")=2,TRUE)</formula>
    </cfRule>
    <cfRule type="expression" dxfId="2552" priority="98">
      <formula>IF(COUNTIF(L$28:L$32,"=1")=2,TRUE)</formula>
    </cfRule>
    <cfRule type="expression" dxfId="2551" priority="99">
      <formula>AND(IF(COUNTIF(R$28:R$32,"=1")=2,TRUE),IF(COUNTIF(S$28:S$32,"=2")=2,TRUE))</formula>
    </cfRule>
    <cfRule type="expression" dxfId="2550" priority="100">
      <formula>AND(R28=4,IF(COUNTIF(R$28:R$32,"=4")=1,TRUE))</formula>
    </cfRule>
    <cfRule type="expression" dxfId="2549" priority="101">
      <formula>AND(R28=3,IF(COUNTIF(R$28:R$32,"=3")=1,TRUE))</formula>
    </cfRule>
    <cfRule type="expression" dxfId="2548" priority="102">
      <formula>AND(R28=2,IF(COUNTIF(R$28:R$32,"=2")=1,TRUE))</formula>
    </cfRule>
    <cfRule type="expression" dxfId="2547" priority="103">
      <formula>AND(R28=1,IF(COUNTIF(R$28:R$32,"=1")=1,TRUE))</formula>
    </cfRule>
    <cfRule type="expression" dxfId="2546" priority="104">
      <formula>OR(R28=0,R28=5)</formula>
    </cfRule>
  </conditionalFormatting>
  <conditionalFormatting sqref="H28:H32">
    <cfRule type="expression" dxfId="2545" priority="71">
      <formula>AND(Q28=4,IF(COUNTIF(Q$28:Q$32,"=4")&gt;=2,TRUE))</formula>
    </cfRule>
    <cfRule type="expression" dxfId="2544" priority="72">
      <formula>AND(Q28=3,IF(COUNTIF(Q$28:Q$32,"=3")&gt;=2,TRUE))</formula>
    </cfRule>
    <cfRule type="expression" dxfId="2543" priority="73">
      <formula>AND(Q28=2,IF(COUNTIF(Q$28:Q$32,"=2")&gt;=2,TRUE))</formula>
    </cfRule>
    <cfRule type="expression" dxfId="2542" priority="74">
      <formula>AND(Q28=1,IF(COUNTIF(Q$28:Q$32,"=1")&gt;=2,TRUE))</formula>
    </cfRule>
  </conditionalFormatting>
  <conditionalFormatting sqref="C102 C104">
    <cfRule type="aboveAverage" dxfId="2541" priority="70"/>
  </conditionalFormatting>
  <conditionalFormatting sqref="C102 C104">
    <cfRule type="containsBlanks" dxfId="2540" priority="69">
      <formula>LEN(TRIM(C102))=0</formula>
    </cfRule>
  </conditionalFormatting>
  <conditionalFormatting sqref="E103 E107">
    <cfRule type="containsBlanks" dxfId="2539" priority="67">
      <formula>LEN(TRIM(E103))=0</formula>
    </cfRule>
    <cfRule type="aboveAverage" dxfId="2538" priority="68"/>
  </conditionalFormatting>
  <conditionalFormatting sqref="E111 E115">
    <cfRule type="containsBlanks" dxfId="2537" priority="65">
      <formula>LEN(TRIM(E111))=0</formula>
    </cfRule>
    <cfRule type="aboveAverage" dxfId="2536" priority="66"/>
  </conditionalFormatting>
  <conditionalFormatting sqref="C106 C108">
    <cfRule type="aboveAverage" dxfId="2535" priority="64"/>
  </conditionalFormatting>
  <conditionalFormatting sqref="C106 C108">
    <cfRule type="containsBlanks" dxfId="2534" priority="63">
      <formula>LEN(TRIM(C106))=0</formula>
    </cfRule>
  </conditionalFormatting>
  <conditionalFormatting sqref="C110 C112">
    <cfRule type="aboveAverage" dxfId="2533" priority="62"/>
  </conditionalFormatting>
  <conditionalFormatting sqref="C110 C112">
    <cfRule type="containsBlanks" dxfId="2532" priority="61">
      <formula>LEN(TRIM(C110))=0</formula>
    </cfRule>
  </conditionalFormatting>
  <conditionalFormatting sqref="C114 C116">
    <cfRule type="aboveAverage" dxfId="2531" priority="60"/>
  </conditionalFormatting>
  <conditionalFormatting sqref="C114 C116">
    <cfRule type="containsBlanks" dxfId="2530" priority="59">
      <formula>LEN(TRIM(C114))=0</formula>
    </cfRule>
  </conditionalFormatting>
  <conditionalFormatting sqref="G117 G119">
    <cfRule type="aboveAverage" dxfId="2529" priority="58"/>
  </conditionalFormatting>
  <conditionalFormatting sqref="G117 G119">
    <cfRule type="containsBlanks" dxfId="2528" priority="57">
      <formula>LEN(TRIM(G117))=0</formula>
    </cfRule>
  </conditionalFormatting>
  <conditionalFormatting sqref="G105 G113">
    <cfRule type="containsBlanks" dxfId="2527" priority="55">
      <formula>LEN(TRIM(G105))=0</formula>
    </cfRule>
    <cfRule type="aboveAverage" dxfId="2526" priority="56"/>
  </conditionalFormatting>
  <conditionalFormatting sqref="G124 G128">
    <cfRule type="containsBlanks" dxfId="2525" priority="53">
      <formula>LEN(TRIM(G124))=0</formula>
    </cfRule>
    <cfRule type="aboveAverage" dxfId="2524" priority="54"/>
  </conditionalFormatting>
  <conditionalFormatting sqref="E123 E125">
    <cfRule type="aboveAverage" dxfId="2523" priority="52"/>
  </conditionalFormatting>
  <conditionalFormatting sqref="E123 E125">
    <cfRule type="containsBlanks" dxfId="2522" priority="51">
      <formula>LEN(TRIM(E123))=0</formula>
    </cfRule>
  </conditionalFormatting>
  <conditionalFormatting sqref="E127 E129">
    <cfRule type="aboveAverage" dxfId="2521" priority="50"/>
  </conditionalFormatting>
  <conditionalFormatting sqref="E127 E129">
    <cfRule type="containsBlanks" dxfId="2520" priority="49">
      <formula>LEN(TRIM(E127))=0</formula>
    </cfRule>
  </conditionalFormatting>
  <conditionalFormatting sqref="G131 G133">
    <cfRule type="aboveAverage" dxfId="2519" priority="48"/>
  </conditionalFormatting>
  <conditionalFormatting sqref="G131 G133">
    <cfRule type="containsBlanks" dxfId="2518" priority="47">
      <formula>LEN(TRIM(G131))=0</formula>
    </cfRule>
  </conditionalFormatting>
  <conditionalFormatting sqref="C140 C142">
    <cfRule type="aboveAverage" dxfId="2517" priority="46"/>
  </conditionalFormatting>
  <conditionalFormatting sqref="C140 C142">
    <cfRule type="containsBlanks" dxfId="2516" priority="45">
      <formula>LEN(TRIM(C140))=0</formula>
    </cfRule>
  </conditionalFormatting>
  <conditionalFormatting sqref="E141 E145">
    <cfRule type="containsBlanks" dxfId="2515" priority="43">
      <formula>LEN(TRIM(E141))=0</formula>
    </cfRule>
    <cfRule type="aboveAverage" dxfId="2514" priority="44"/>
  </conditionalFormatting>
  <conditionalFormatting sqref="E149 E153">
    <cfRule type="containsBlanks" dxfId="2513" priority="41">
      <formula>LEN(TRIM(E149))=0</formula>
    </cfRule>
    <cfRule type="aboveAverage" dxfId="2512" priority="42"/>
  </conditionalFormatting>
  <conditionalFormatting sqref="C144 C146">
    <cfRule type="aboveAverage" dxfId="2511" priority="40"/>
  </conditionalFormatting>
  <conditionalFormatting sqref="C144 C146">
    <cfRule type="containsBlanks" dxfId="2510" priority="39">
      <formula>LEN(TRIM(C144))=0</formula>
    </cfRule>
  </conditionalFormatting>
  <conditionalFormatting sqref="C148 C150">
    <cfRule type="aboveAverage" dxfId="2509" priority="38"/>
  </conditionalFormatting>
  <conditionalFormatting sqref="C148 C150">
    <cfRule type="containsBlanks" dxfId="2508" priority="37">
      <formula>LEN(TRIM(C148))=0</formula>
    </cfRule>
  </conditionalFormatting>
  <conditionalFormatting sqref="C152 C154">
    <cfRule type="aboveAverage" dxfId="2507" priority="36"/>
  </conditionalFormatting>
  <conditionalFormatting sqref="C152 C154">
    <cfRule type="containsBlanks" dxfId="2506" priority="35">
      <formula>LEN(TRIM(C152))=0</formula>
    </cfRule>
  </conditionalFormatting>
  <conditionalFormatting sqref="G155 G157">
    <cfRule type="aboveAverage" dxfId="2505" priority="34"/>
  </conditionalFormatting>
  <conditionalFormatting sqref="G155 G157">
    <cfRule type="containsBlanks" dxfId="2504" priority="33">
      <formula>LEN(TRIM(G155))=0</formula>
    </cfRule>
  </conditionalFormatting>
  <conditionalFormatting sqref="G143 G151">
    <cfRule type="containsBlanks" dxfId="2503" priority="31">
      <formula>LEN(TRIM(G143))=0</formula>
    </cfRule>
    <cfRule type="aboveAverage" dxfId="2502" priority="32"/>
  </conditionalFormatting>
  <conditionalFormatting sqref="G162 G166">
    <cfRule type="containsBlanks" dxfId="2501" priority="29">
      <formula>LEN(TRIM(G162))=0</formula>
    </cfRule>
    <cfRule type="aboveAverage" dxfId="2500" priority="30"/>
  </conditionalFormatting>
  <conditionalFormatting sqref="E161 E163">
    <cfRule type="aboveAverage" dxfId="2499" priority="28"/>
  </conditionalFormatting>
  <conditionalFormatting sqref="E161 E163">
    <cfRule type="containsBlanks" dxfId="2498" priority="27">
      <formula>LEN(TRIM(E161))=0</formula>
    </cfRule>
  </conditionalFormatting>
  <conditionalFormatting sqref="E165 E167">
    <cfRule type="aboveAverage" dxfId="2497" priority="26"/>
  </conditionalFormatting>
  <conditionalFormatting sqref="E165 E167">
    <cfRule type="containsBlanks" dxfId="2496" priority="25">
      <formula>LEN(TRIM(E165))=0</formula>
    </cfRule>
  </conditionalFormatting>
  <conditionalFormatting sqref="G169 G171">
    <cfRule type="aboveAverage" dxfId="2495" priority="24"/>
  </conditionalFormatting>
  <conditionalFormatting sqref="G169 G171">
    <cfRule type="containsBlanks" dxfId="2494" priority="23">
      <formula>LEN(TRIM(G169))=0</formula>
    </cfRule>
  </conditionalFormatting>
  <conditionalFormatting sqref="A300:A311">
    <cfRule type="duplicateValues" dxfId="2493" priority="532"/>
  </conditionalFormatting>
  <conditionalFormatting sqref="B300:B311">
    <cfRule type="expression" dxfId="2492" priority="533">
      <formula>A300=3</formula>
    </cfRule>
    <cfRule type="expression" dxfId="2491" priority="534">
      <formula>A300=2</formula>
    </cfRule>
    <cfRule type="expression" dxfId="2490" priority="535">
      <formula>A300=1</formula>
    </cfRule>
    <cfRule type="containsBlanks" dxfId="2489" priority="536">
      <formula>LEN(TRIM(B300))=0</formula>
    </cfRule>
    <cfRule type="duplicateValues" dxfId="2488" priority="537"/>
  </conditionalFormatting>
  <conditionalFormatting sqref="AJ6:AJ32">
    <cfRule type="expression" dxfId="2487" priority="5">
      <formula>AND(AI6="",FIND(",",AJ6))</formula>
    </cfRule>
    <cfRule type="expression" dxfId="2486" priority="7">
      <formula>AND(AI6="",COUNTIF(AJ6,"*,*")=0)</formula>
    </cfRule>
  </conditionalFormatting>
  <conditionalFormatting sqref="AH6:AH32">
    <cfRule type="expression" dxfId="2485" priority="8">
      <formula>AND(AG6="",FIND(",",AH6))</formula>
    </cfRule>
    <cfRule type="expression" dxfId="2484" priority="9">
      <formula>AND(AG6="",COUNTIF(AH6,"*,*")=0)</formula>
    </cfRule>
  </conditionalFormatting>
  <conditionalFormatting sqref="AL6:AL32">
    <cfRule type="expression" dxfId="2483" priority="10">
      <formula>AND(AK6="",FIND(",",AL6))</formula>
    </cfRule>
    <cfRule type="expression" dxfId="2482" priority="11">
      <formula>AND(AK6="",COUNTIF(AL6,"*,*")=0)</formula>
    </cfRule>
  </conditionalFormatting>
  <conditionalFormatting sqref="AF6:AF32">
    <cfRule type="expression" dxfId="2481" priority="6">
      <formula>AND(AE6="",COUNTIF(AF6,"*,*")=0)</formula>
    </cfRule>
  </conditionalFormatting>
  <conditionalFormatting sqref="AN6:AN32">
    <cfRule type="expression" dxfId="2480" priority="2">
      <formula>AND(AM6="",COUNTIF(AN6,"*,*")=0)</formula>
    </cfRule>
    <cfRule type="expression" dxfId="2479" priority="4">
      <formula>AND(AM6="",FIND(",",AN6))</formula>
    </cfRule>
  </conditionalFormatting>
  <conditionalFormatting sqref="AP6:AP32">
    <cfRule type="expression" dxfId="2478" priority="1">
      <formula>AND(AO6="",COUNTIF(AP6,"*,*")=0)</formula>
    </cfRule>
    <cfRule type="expression" dxfId="2477" priority="3">
      <formula>AND(AO6="",FIND(",",AP6))</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P314"/>
  <sheetViews>
    <sheetView showGridLines="0" showRowColHeaders="0" zoomScaleNormal="100" workbookViewId="0">
      <pane ySplit="2" topLeftCell="A3" activePane="bottomLeft" state="frozen"/>
      <selection pane="bottomLeft" activeCell="A298" sqref="A298"/>
    </sheetView>
  </sheetViews>
  <sheetFormatPr defaultRowHeight="12.75" x14ac:dyDescent="0.2"/>
  <cols>
    <col min="1" max="1" width="3.28515625" customWidth="1"/>
    <col min="2" max="2" width="39.140625" bestFit="1"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1" max="26" width="0" hidden="1" customWidth="1"/>
    <col min="29" max="29" width="9.140625" customWidth="1"/>
    <col min="30" max="31" width="9.140625" hidden="1" customWidth="1"/>
    <col min="32" max="32" width="16.5703125" hidden="1" customWidth="1"/>
    <col min="33" max="33" width="0" hidden="1" customWidth="1"/>
    <col min="34" max="34" width="27.140625" hidden="1" customWidth="1"/>
    <col min="35" max="35" width="0" hidden="1" customWidth="1"/>
    <col min="36" max="36" width="17.28515625" hidden="1" customWidth="1"/>
    <col min="37" max="37" width="0" hidden="1" customWidth="1"/>
    <col min="38" max="38" width="13.85546875" hidden="1" customWidth="1"/>
    <col min="39" max="39" width="0" hidden="1" customWidth="1"/>
    <col min="40" max="40" width="17.28515625" hidden="1" customWidth="1"/>
    <col min="41" max="41" width="0" hidden="1" customWidth="1"/>
    <col min="42" max="42" width="13.85546875" hidden="1" customWidth="1"/>
  </cols>
  <sheetData>
    <row r="1" spans="1:42" x14ac:dyDescent="0.2">
      <c r="A1" s="462" t="str">
        <f>UPPER((Kalend!E10)&amp;" - "&amp;(Kalend!C10)&amp;" - "&amp;(Kalend!D10))</f>
        <v>4 - TOILA VALLA LAHTISED MV - DUO</v>
      </c>
      <c r="E1" s="405"/>
      <c r="F1" s="405"/>
      <c r="G1" s="405"/>
      <c r="H1" s="405"/>
      <c r="I1" s="405"/>
      <c r="J1" s="405"/>
      <c r="K1" s="405"/>
      <c r="L1" s="405"/>
      <c r="M1" s="586"/>
      <c r="N1" s="586"/>
      <c r="O1" s="587"/>
      <c r="P1" s="549" t="s">
        <v>68</v>
      </c>
      <c r="Q1" s="586"/>
      <c r="R1" s="586"/>
      <c r="S1" s="586"/>
      <c r="T1" s="586"/>
      <c r="AD1" s="176" t="s">
        <v>68</v>
      </c>
      <c r="AE1" s="536"/>
      <c r="AF1" s="536"/>
      <c r="AG1" s="536"/>
      <c r="AH1" s="536"/>
      <c r="AI1" s="536"/>
      <c r="AJ1" s="536"/>
      <c r="AK1" s="536"/>
      <c r="AL1" s="536"/>
      <c r="AM1" s="536"/>
      <c r="AN1" s="536"/>
      <c r="AO1" s="266"/>
      <c r="AP1" s="266"/>
    </row>
    <row r="2" spans="1:42" x14ac:dyDescent="0.2">
      <c r="A2" s="409" t="str">
        <f>"Toimumisaeg: "&amp;(Kalend!A10)&amp;" kell "&amp;(Kalend!B10)</f>
        <v>Toimumisaeg: L, 29.05.2021 kell 11:00</v>
      </c>
      <c r="AD2" s="409"/>
      <c r="AE2" s="409"/>
      <c r="AF2" s="409"/>
      <c r="AG2" s="409"/>
      <c r="AH2" s="409"/>
      <c r="AI2" s="585"/>
      <c r="AJ2" s="409"/>
      <c r="AK2" s="409"/>
      <c r="AL2" s="409"/>
      <c r="AM2" s="409"/>
      <c r="AN2" s="409"/>
    </row>
    <row r="3" spans="1:42" x14ac:dyDescent="0.2">
      <c r="A3" s="409" t="str">
        <f>"Toimumiskoht: "&amp;(Kalend!F10)</f>
        <v>Toimumiskoht: Voka staadion</v>
      </c>
      <c r="O3" s="410" t="s">
        <v>227</v>
      </c>
      <c r="AD3" s="409"/>
      <c r="AF3" s="409"/>
      <c r="AG3" s="409"/>
      <c r="AH3" s="409"/>
      <c r="AI3" s="409"/>
      <c r="AJ3" s="409"/>
      <c r="AK3" s="409"/>
      <c r="AL3" s="409"/>
      <c r="AM3" s="409"/>
      <c r="AN3" s="409"/>
    </row>
    <row r="4" spans="1:42" x14ac:dyDescent="0.2">
      <c r="A4" s="409" t="str">
        <f>"Korraldaja: "&amp;(Kalend!G10)</f>
        <v>Korraldaja: Johannes Neiland</v>
      </c>
      <c r="AD4" s="927" t="s">
        <v>231</v>
      </c>
    </row>
    <row r="5" spans="1:42" hidden="1" x14ac:dyDescent="0.2">
      <c r="R5" s="588" t="s">
        <v>311</v>
      </c>
      <c r="AD5" s="420" t="s">
        <v>445</v>
      </c>
      <c r="AE5" s="424"/>
      <c r="AF5" s="424" t="s">
        <v>234</v>
      </c>
      <c r="AG5" s="424"/>
      <c r="AH5" s="425" t="s">
        <v>235</v>
      </c>
      <c r="AI5" s="424"/>
      <c r="AJ5" s="424" t="s">
        <v>236</v>
      </c>
      <c r="AK5" s="426"/>
      <c r="AL5" s="424" t="s">
        <v>237</v>
      </c>
      <c r="AM5" s="426"/>
      <c r="AN5" s="426" t="s">
        <v>309</v>
      </c>
      <c r="AO5" s="928"/>
      <c r="AP5" s="426" t="s">
        <v>310</v>
      </c>
    </row>
    <row r="6" spans="1:42" hidden="1" x14ac:dyDescent="0.2">
      <c r="A6" s="550" t="s">
        <v>200</v>
      </c>
      <c r="B6" s="551"/>
      <c r="C6" s="552">
        <v>1</v>
      </c>
      <c r="D6" s="552">
        <v>2</v>
      </c>
      <c r="E6" s="552">
        <v>3</v>
      </c>
      <c r="F6" s="552">
        <v>4</v>
      </c>
      <c r="G6" s="552">
        <v>5</v>
      </c>
      <c r="H6" s="552" t="s">
        <v>288</v>
      </c>
      <c r="I6" s="553" t="s">
        <v>270</v>
      </c>
      <c r="J6" s="605" t="s">
        <v>289</v>
      </c>
      <c r="K6" s="606" t="s">
        <v>290</v>
      </c>
      <c r="L6" s="607" t="s">
        <v>291</v>
      </c>
      <c r="M6" s="607" t="s">
        <v>292</v>
      </c>
      <c r="N6" s="608" t="s">
        <v>322</v>
      </c>
      <c r="O6" s="608" t="s">
        <v>322</v>
      </c>
      <c r="P6" s="589" t="s">
        <v>294</v>
      </c>
      <c r="Q6" s="609" t="s">
        <v>183</v>
      </c>
      <c r="R6" s="609" t="b">
        <f>OR(AND(COUNTA(B7:B11)=3,COUNTA(C7:G11)=6),AND(COUNTA(B7:B11)=4,COUNTA(C7:G11)=12),AND(COUNTA(B7:B11)=5,COUNTA(C7:G11)=20))</f>
        <v>0</v>
      </c>
      <c r="S6" s="610" t="s">
        <v>295</v>
      </c>
      <c r="T6" s="611" t="s">
        <v>296</v>
      </c>
      <c r="U6" s="584"/>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hidden="1" x14ac:dyDescent="0.2">
      <c r="A7" s="550">
        <v>1</v>
      </c>
      <c r="B7" s="561" t="s">
        <v>465</v>
      </c>
      <c r="C7" s="562"/>
      <c r="D7" s="564"/>
      <c r="E7" s="564"/>
      <c r="F7" s="564"/>
      <c r="G7" s="564"/>
      <c r="H7" s="565" t="str">
        <f>(IF(D7-C8&gt;0,1)+IF(E7-C9&gt;0,1)+IF(F7-C10&gt;0,1)+IF(G7-C11&gt;0,1))&amp;"-"&amp;(IF(D7-C8&lt;0,1)+IF(E7-C9&lt;0,1)+IF(F7-C10&lt;0,1)+IF(G7-C11&lt;0,1))</f>
        <v>0-0</v>
      </c>
      <c r="I7" s="564" t="str">
        <f>IF(AND(B7&lt;&gt;"",R$6=TRUE),A$6&amp;RANK(S7,S$7:S$11,0)," ")</f>
        <v xml:space="preserve"> </v>
      </c>
      <c r="J7" s="566">
        <f>IF(AND(Q7=1,Q8=1,D7&gt;C8),1)+IF(AND(Q7=1,Q9=1,E7&gt;C9),1)+IF(AND(Q7=1,Q10=1,F7&gt;C10),1)+IF(AND(Q7=1,Q11=1,G7&gt;C11),1)+IF(AND(Q7=2,Q8=2,D7&gt;C8),1)+IF(AND(Q7=2,Q9=2,E7&gt;C9),1)+IF(AND(Q7=2,Q10=2,F7&gt;C10),1)+IF(AND(Q7=2,Q11=2,G7&gt;C11),1)+IF(AND(Q7=3,Q8=3,D7&gt;C8),1)+IF(AND(Q7=3,Q9=3,E7&gt;C9),1)+IF(AND(Q7=3,Q10=3,F7&gt;C10),1)+IF(AND(Q7=3,Q11=3,G7&gt;C11),1)</f>
        <v>0</v>
      </c>
      <c r="K7" s="567">
        <f>SUM(AND(T7=T8,D7&gt;C8),AND(T7=T9,E7&gt;C9),AND(T7=T10,F7&gt;C10),AND(T7=T11,G7&gt;C11))</f>
        <v>0</v>
      </c>
      <c r="L7" s="568">
        <f>IF(AND(Q7=1,Q8=1),D7-C8)+IF(AND(Q7=1,Q9=1),E7-C9)+IF(AND(Q7=1,Q10=1),F7-C10)+IF(AND(Q7=1,Q11=1),G7-C11)+IF(AND(Q7=2,Q8=2),D7-C8)+IF(AND(Q7=2,Q9=2),E7-C9)+IF(AND(Q7=2,Q10=2),F7-C10)+IF(AND(Q7=2,Q11=2),G7-C11)+IF(AND(Q7=3,Q8=3),D7-C8)+IF(AND(Q7=3,Q9=3),E7-C9)+IF(AND(Q7=3,Q10=3),F7-C10)+IF(AND(Q7=3,Q11=3),G7-C11)+IF(AND(Q7=4,Q8=4),D7-C8)+IF(AND(Q7=4,Q9=4),E7-C9)+IF(AND(Q7=4,Q10=4),F7-C10)+IF(AND(Q7=4,Q11=4),G7-C11)</f>
        <v>0</v>
      </c>
      <c r="M7" s="569">
        <f>SUM(AND(R7=R8,D7&gt;C8),AND(R7=R9,E7&gt;C9),AND(R7=R10,F7&gt;C10),AND(R7=R11,G7&gt;C11))</f>
        <v>0</v>
      </c>
      <c r="N7" s="570" t="str">
        <f>SUM(C7:G7)&amp;"-"&amp;SUM(C7:C11)</f>
        <v>0-0</v>
      </c>
      <c r="O7" s="571">
        <f>D7+E7+F7+G7-C8-C9-C10-C11</f>
        <v>0</v>
      </c>
      <c r="P7" s="572" t="e">
        <f>SUM(C7:G7,C7:C11)/SUM(C7:C11)</f>
        <v>#DIV/0!</v>
      </c>
      <c r="Q7" s="573">
        <f>VALUE(LEFT(H7,1))</f>
        <v>0</v>
      </c>
      <c r="R7" s="574">
        <f>Q7*100000+J7*10000+K7*1000+100*L7</f>
        <v>0</v>
      </c>
      <c r="S7" s="590">
        <f>R7+M7*0.1+IF(ISNONTEXT(B7),0,0.01)+0.0001*O7</f>
        <v>0.01</v>
      </c>
      <c r="T7" s="575" t="str">
        <f>Q7&amp;J7</f>
        <v>00</v>
      </c>
      <c r="U7" s="584"/>
      <c r="AD7" s="458">
        <f t="shared" ref="AD7:AD17" ca="1" si="0">SUM(AE7:AL7)</f>
        <v>505</v>
      </c>
      <c r="AE7" s="459">
        <f ca="1">IFERROR(INDEX(Reit!$I:$I,MATCH(AF7,Reit!$F:$F,0)),"")</f>
        <v>211</v>
      </c>
      <c r="AF7" s="460" t="str">
        <f t="shared" ref="AF7:AF33" si="1">IFERROR(LEFT($B7,(FIND(",",$B7,1)-1)),"")</f>
        <v>Kaspar Mänd</v>
      </c>
      <c r="AG7" s="459">
        <f ca="1">IFERROR(INDEX(Reit!$I:$I,MATCH(AH7,Reit!$F:$F,0)),"")</f>
        <v>294</v>
      </c>
      <c r="AH7" s="460" t="str">
        <f t="shared" ref="AH7:AH33" si="2">IFERROR(MID($B7,FIND(", ",$B7)+2,256),"")</f>
        <v>Matti Vinni</v>
      </c>
      <c r="AI7" s="459" t="str">
        <f>IFERROR(INDEX(Reit!$I:$I,MATCH(AJ7,Reit!$F:$F,0)),"")</f>
        <v/>
      </c>
      <c r="AJ7" s="460" t="str">
        <f t="shared" ref="AJ7:AJ33" si="3">IFERROR(MID($B7,FIND("^",SUBSTITUTE($B7,", ","^",1))+2,FIND("^",SUBSTITUTE($B7,", ","^",2))-FIND("^",SUBSTITUTE($B7,", ","^",1))-2),"")</f>
        <v/>
      </c>
      <c r="AK7" s="459" t="str">
        <f>IFERROR(INDEX(Reit!$I:$I,MATCH(AL7,Reit!$F:$F,0)),"")</f>
        <v/>
      </c>
      <c r="AL7" s="460" t="str">
        <f t="shared" ref="AL7:AL33" si="4">IFERROR(MID($B7,FIND(", ",$B7,FIND(", ",$B7,FIND(", ",$B7))+1)+2,30000),"")</f>
        <v/>
      </c>
      <c r="AM7" s="459" t="str">
        <f>IFERROR(INDEX(Reit!$I:$I,MATCH(AN7,Reit!$F:$F,0)),"")</f>
        <v/>
      </c>
      <c r="AN7" s="460" t="str">
        <f t="shared" ref="AN7:AN33" si="5">IFERROR(MID($B7,FIND(", ",$B7,FIND(", ",$B7)+1)+2,FIND(", ",$B7,FIND(", ",$B7,FIND(", ",$B7)+1)+1)-FIND(", ",$B7,FIND(", ",$B7)+1)-2),"")</f>
        <v/>
      </c>
      <c r="AO7" s="459" t="str">
        <f>IFERROR(INDEX(Reit!$I:$I,MATCH(AP7,Reit!$F:$F,0)),"")</f>
        <v/>
      </c>
      <c r="AP7" s="460" t="str">
        <f t="shared" ref="AP7:AP33" si="6">IFERROR(MID($B7,FIND(", ",$B7,FIND(", ",$B7,FIND(", ",$B7)+1)+1)+2,30000),"")</f>
        <v/>
      </c>
    </row>
    <row r="8" spans="1:42" hidden="1" x14ac:dyDescent="0.2">
      <c r="A8" s="550">
        <v>2</v>
      </c>
      <c r="B8" s="576" t="s">
        <v>256</v>
      </c>
      <c r="C8" s="564"/>
      <c r="D8" s="562"/>
      <c r="E8" s="564"/>
      <c r="F8" s="564"/>
      <c r="G8" s="564"/>
      <c r="H8" s="565" t="str">
        <f>(IF(C8-D7&gt;0,1)+IF(E8-D9&gt;0,1)+IF(F8-D10&gt;0,1)+IF(G8-D11&gt;0,1))&amp;"-"&amp;(IF(C8-D7&lt;0,1)+IF(E8-D9&lt;0,1)+IF(F8-D10&lt;0,1)+IF(G8-D11&lt;0,1))</f>
        <v>0-0</v>
      </c>
      <c r="I8" s="564" t="str">
        <f>IF(AND(B8&lt;&gt;"",R$6=TRUE),A$6&amp;RANK(S8,S$7:S$11,0)," ")</f>
        <v xml:space="preserve"> </v>
      </c>
      <c r="J8" s="577">
        <f>IF(AND(Q8=1,Q7=1,C8&gt;D7),1)+IF(AND(Q8=1,Q9=1,E8&gt;D9),1)+IF(AND(Q8=1,Q10=1,F8&gt;D10),1)+IF(AND(Q8=1,Q11=1,G8&gt;D11),1)+IF(AND(Q8=2,Q7=2,C8&gt;D7),1)+IF(AND(Q8=2,Q9=2,E8&gt;D9),1)+IF(AND(Q8=2,Q10=2,F8&gt;D10),1)+IF(AND(Q8=2,Q11=2,G8&gt;D11),1)+IF(AND(Q8=3,Q7=3,C8&gt;D7),1)+IF(AND(Q8=3,Q9=3,E8&gt;D9),1)+IF(AND(Q8=3,Q10=3,F8&gt;D10),1)+IF(AND(Q8=3,Q11=3,G8&gt;D11),1)</f>
        <v>0</v>
      </c>
      <c r="K8" s="569">
        <f>SUM(AND(T8=T7,C8&gt;D7),AND(T8=T9,E8&gt;D9),AND(T8=T10,F8&gt;D10),AND(T8=T11,G8&gt;D11))</f>
        <v>0</v>
      </c>
      <c r="L8" s="578">
        <f>IF(AND(Q8=1,Q7=1),C8-D7)+IF(AND(Q8=1,Q9=1),E8-D9)+IF(AND(Q8=1,Q10=1),F8-D10)+IF(AND(Q8=1,Q11=1),G8-D11)+IF(AND(Q8=2,Q7=2),C8-D7)+IF(AND(Q8=2,Q9=2),E8-D9)+IF(AND(Q8=2,Q10=2),F8-D10)+IF(AND(Q8=2,Q11=2),G8-D11)+IF(AND(Q8=3,Q7=3),C8-D7)+IF(AND(Q8=3,Q9=3),E8-D9)+IF(AND(Q8=3,Q10=3),F8-D10)+IF(AND(Q8=3,Q11=3),G8-D11)+IF(AND(Q8=4,Q7=4),C8-D7)+IF(AND(Q8=4,Q9=4),E8-D9)+IF(AND(Q8=4,Q10=4),F8-D10)+IF(AND(Q8=4,Q11=4),G8-D11)</f>
        <v>0</v>
      </c>
      <c r="M8" s="569">
        <f>SUM(AND(R8=R7,C8&gt;D7),AND(R8=R9,E8&gt;D9),AND(R8=R10,F8&gt;D10),AND(R8=R11,G8&gt;D11))</f>
        <v>0</v>
      </c>
      <c r="N8" s="570" t="str">
        <f>SUM(C8:G8)&amp;"-"&amp;SUM(D7:D11)</f>
        <v>0-0</v>
      </c>
      <c r="O8" s="571">
        <f>C8+E8+F8+G8-D7-D9-D10-D11</f>
        <v>0</v>
      </c>
      <c r="P8" s="572" t="e">
        <f>SUM(C8:G8,D7:D11)/SUM(D7:D11)</f>
        <v>#DIV/0!</v>
      </c>
      <c r="Q8" s="579">
        <f>VALUE(LEFT(H8,1))</f>
        <v>0</v>
      </c>
      <c r="R8" s="574">
        <f>Q8*100000+J8*10000+K8*1000+100*L8</f>
        <v>0</v>
      </c>
      <c r="S8" s="590">
        <f>R8+M8*0.1+IF(ISNONTEXT(B8),0,0.01)+0.0001*O8</f>
        <v>0.01</v>
      </c>
      <c r="T8" s="575" t="str">
        <f>Q8&amp;J8</f>
        <v>00</v>
      </c>
      <c r="U8" s="584"/>
      <c r="AD8" s="458">
        <f t="shared" ca="1" si="0"/>
        <v>540</v>
      </c>
      <c r="AE8" s="459">
        <f ca="1">IFERROR(INDEX(Reit!$I:$I,MATCH(AF8,Reit!$F:$F,0)),"")</f>
        <v>248</v>
      </c>
      <c r="AF8" s="460" t="str">
        <f t="shared" si="1"/>
        <v>Jaan Sepp</v>
      </c>
      <c r="AG8" s="459">
        <f ca="1">IFERROR(INDEX(Reit!$I:$I,MATCH(AH8,Reit!$F:$F,0)),"")</f>
        <v>292</v>
      </c>
      <c r="AH8" s="460" t="str">
        <f t="shared" si="2"/>
        <v>Oskar Sepp</v>
      </c>
      <c r="AI8" s="459" t="str">
        <f>IFERROR(INDEX(Reit!$I:$I,MATCH(AJ8,Reit!$F:$F,0)),"")</f>
        <v/>
      </c>
      <c r="AJ8" s="460" t="str">
        <f t="shared" si="3"/>
        <v/>
      </c>
      <c r="AK8" s="459" t="str">
        <f>IFERROR(INDEX(Reit!$I:$I,MATCH(AL8,Reit!$F:$F,0)),"")</f>
        <v/>
      </c>
      <c r="AL8" s="460" t="str">
        <f t="shared" si="4"/>
        <v/>
      </c>
      <c r="AM8" s="459" t="str">
        <f>IFERROR(INDEX(Reit!$I:$I,MATCH(AN8,Reit!$F:$F,0)),"")</f>
        <v/>
      </c>
      <c r="AN8" s="460" t="str">
        <f t="shared" si="5"/>
        <v/>
      </c>
      <c r="AO8" s="459" t="str">
        <f>IFERROR(INDEX(Reit!$I:$I,MATCH(AP8,Reit!$F:$F,0)),"")</f>
        <v/>
      </c>
      <c r="AP8" s="460" t="str">
        <f t="shared" si="6"/>
        <v/>
      </c>
    </row>
    <row r="9" spans="1:42" hidden="1" x14ac:dyDescent="0.2">
      <c r="A9" s="550">
        <v>3</v>
      </c>
      <c r="B9" s="576" t="s">
        <v>258</v>
      </c>
      <c r="C9" s="564"/>
      <c r="D9" s="580"/>
      <c r="E9" s="562"/>
      <c r="F9" s="612"/>
      <c r="G9" s="612"/>
      <c r="H9" s="565" t="str">
        <f>(IF(C9-E7&gt;0,1)+IF(D9-E8&gt;0,1)+IF(F9-E10&gt;0,1)+IF(G9-E11&gt;0,1))&amp;"-"&amp;(IF(C9-E7&lt;0,1)+IF(D9-E8&lt;0,1)+IF(F9-E10&lt;0,1)+IF(G9-E11&lt;0,1))</f>
        <v>0-0</v>
      </c>
      <c r="I9" s="564" t="str">
        <f>IF(AND(B9&lt;&gt;"",R$6=TRUE),A$6&amp;RANK(S9,S$7:S$11,0)," ")</f>
        <v xml:space="preserve"> </v>
      </c>
      <c r="J9" s="577">
        <f>IF(AND(Q9=1,Q7=1,C9&gt;E7),1)+IF(AND(Q9=1,Q8=1,D9&gt;E8),1)+IF(AND(Q9=1,Q10=1,F9&gt;E10),1)+IF(AND(Q9=1,Q11=1,G9&gt;E11),1)+IF(AND(Q9=2,Q7=2,C9&gt;E7),1)+IF(AND(Q9=2,Q8=2,D9&gt;E8),1)+IF(AND(Q9=2,Q10=2,F9&gt;E10),1)+IF(AND(Q9=2,Q11=2,G9&gt;E11),1)+IF(AND(Q9=3,Q7=3,C9&gt;E7),1)+IF(AND(Q9=3,Q8=3,D9&gt;E8),1)+IF(AND(Q9=3,Q10=3,F9&gt;E10),1)+IF(AND(Q9=3,Q11=3,G9&gt;E11),1)</f>
        <v>0</v>
      </c>
      <c r="K9" s="569">
        <f>SUM(AND(T9=T7,C9&gt;E7),AND(T9=T8,D9&gt;E8),AND(T9=T10,F9&gt;E10),AND(T9=T11,G9&gt;E11))</f>
        <v>0</v>
      </c>
      <c r="L9" s="578">
        <f>IF(AND(Q9=1,Q7=1),C9-E7)+IF(AND(Q9=1,Q8=1),D9-E8)+IF(AND(Q9=1,Q10=1),F9-E10)+IF(AND(Q9=1,Q11=1),G9-E11)+IF(AND(Q9=2,Q7=2),C9-E7)+IF(AND(Q9=2,Q8=2),D9-E8)+IF(AND(Q9=2,Q10=2),F9-E10)+IF(AND(Q9=2,Q11=2),G9-E11)+IF(AND(Q9=3,Q7=3),C9-E7)+IF(AND(Q9=3,Q8=3),D9-E8)+IF(AND(Q9=3,Q10=3),F9-E10)+IF(AND(Q9=3,Q11=3),G9-E11)+IF(AND(Q9=4,Q7=4),C9-E7)+IF(AND(Q9=4,Q8=4),D9-E8)+IF(AND(Q9=4,Q10=4),F9-E10)+IF(AND(Q9=4,Q11=4),G9-E11)</f>
        <v>0</v>
      </c>
      <c r="M9" s="569">
        <f>SUM(AND(R9=R7,C9&gt;E7),AND(R9=R8,D9&gt;E8),AND(R9=R10,F9&gt;E10),AND(R9=R11,G9&gt;E11))</f>
        <v>0</v>
      </c>
      <c r="N9" s="570" t="str">
        <f>SUM(C9:G9)&amp;"-"&amp;SUM(E7:E11)</f>
        <v>0-0</v>
      </c>
      <c r="O9" s="571">
        <f>C9+D9+F9+G9-E7-E8-E10-E11</f>
        <v>0</v>
      </c>
      <c r="P9" s="572" t="e">
        <f>SUM(C9:G9,E7:E11)/SUM(E7:E11)</f>
        <v>#DIV/0!</v>
      </c>
      <c r="Q9" s="579">
        <f>VALUE(LEFT(H9,1))</f>
        <v>0</v>
      </c>
      <c r="R9" s="574">
        <f>Q9*100000+J9*10000+K9*1000+100*L9</f>
        <v>0</v>
      </c>
      <c r="S9" s="590">
        <f>R9+M9*0.1+IF(ISNONTEXT(B9),0,0.01)+0.0001*O9</f>
        <v>0.01</v>
      </c>
      <c r="T9" s="575" t="str">
        <f>Q9&amp;J9</f>
        <v>00</v>
      </c>
      <c r="U9" s="584"/>
      <c r="AD9" s="458">
        <f t="shared" ca="1" si="0"/>
        <v>365</v>
      </c>
      <c r="AE9" s="459">
        <f ca="1">IFERROR(INDEX(Reit!$I:$I,MATCH(AF9,Reit!$F:$F,0)),"")</f>
        <v>286</v>
      </c>
      <c r="AF9" s="460" t="str">
        <f t="shared" si="1"/>
        <v>Henri Mitt</v>
      </c>
      <c r="AG9" s="459">
        <f ca="1">IFERROR(INDEX(Reit!$I:$I,MATCH(AH9,Reit!$F:$F,0)),"")</f>
        <v>79</v>
      </c>
      <c r="AH9" s="460" t="str">
        <f t="shared" si="2"/>
        <v>Urmas Randlaine</v>
      </c>
      <c r="AI9" s="459" t="str">
        <f>IFERROR(INDEX(Reit!$I:$I,MATCH(AJ9,Reit!$F:$F,0)),"")</f>
        <v/>
      </c>
      <c r="AJ9" s="460" t="str">
        <f t="shared" si="3"/>
        <v/>
      </c>
      <c r="AK9" s="459" t="str">
        <f>IFERROR(INDEX(Reit!$I:$I,MATCH(AL9,Reit!$F:$F,0)),"")</f>
        <v/>
      </c>
      <c r="AL9" s="460" t="str">
        <f t="shared" si="4"/>
        <v/>
      </c>
      <c r="AM9" s="459" t="str">
        <f>IFERROR(INDEX(Reit!$I:$I,MATCH(AN9,Reit!$F:$F,0)),"")</f>
        <v/>
      </c>
      <c r="AN9" s="460" t="str">
        <f t="shared" si="5"/>
        <v/>
      </c>
      <c r="AO9" s="459" t="str">
        <f>IFERROR(INDEX(Reit!$I:$I,MATCH(AP9,Reit!$F:$F,0)),"")</f>
        <v/>
      </c>
      <c r="AP9" s="460" t="str">
        <f t="shared" si="6"/>
        <v/>
      </c>
    </row>
    <row r="10" spans="1:42" hidden="1" x14ac:dyDescent="0.2">
      <c r="A10" s="550">
        <v>4</v>
      </c>
      <c r="B10" s="581" t="s">
        <v>254</v>
      </c>
      <c r="C10" s="564"/>
      <c r="D10" s="580"/>
      <c r="E10" s="612"/>
      <c r="F10" s="562"/>
      <c r="G10" s="612"/>
      <c r="H10" s="565" t="str">
        <f>(IF(C10-F7&gt;0,1)+IF(D10-F8&gt;0,1)+IF(E10-F9&gt;0,1)+IF(G10-F11&gt;0,1))&amp;"-"&amp;(IF(C10-F7&lt;0,1)+IF(D10-F8&lt;0,1)+IF(E10-F9&lt;0,1)+IF(G10-F11&lt;0,1))</f>
        <v>0-0</v>
      </c>
      <c r="I10" s="564" t="str">
        <f>IF(AND(B10&lt;&gt;"",R$6=TRUE),A$6&amp;RANK(S10,S$7:S$11,0)," ")</f>
        <v xml:space="preserve"> </v>
      </c>
      <c r="J10" s="577">
        <f>IF(AND(Q10=1,Q7=1,C10&gt;F7),1)+IF(AND(Q10=1,Q8=1,D10&gt;F8),1)+IF(AND(Q10=1,Q9=1,E10&gt;F9),1)+IF(AND(Q10=1,Q11=1,G10&gt;F11),1)+IF(AND(Q10=2,Q7=2,C10&gt;F7),1)+IF(AND(Q10=2,Q8=2,D10&gt;F8),1)+IF(AND(Q10=2,Q9=2,E10&gt;F9),1)+IF(AND(Q10=2,Q11=2,G10&gt;F11),1)+IF(AND(Q10=3,Q7=3,C10&gt;F7),1)+IF(AND(Q10=3,Q8=3,D10&gt;F8),1)+IF(AND(Q10=3,Q9=3,E10&gt;F9),1)+IF(AND(Q10=3,Q11=3,G10&gt;F11),1)</f>
        <v>0</v>
      </c>
      <c r="K10" s="569">
        <f>SUM(AND(T10=T7,C10&gt;F7),AND(T10=T8,D10&gt;F8),AND(T10=T9,E10&gt;F9),AND(T10=T11,G10&gt;F11))</f>
        <v>0</v>
      </c>
      <c r="L10" s="578">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569">
        <f>SUM(AND(R10=R7,C10&gt;F7),AND(R10=R8,D10&gt;F8),AND(R10=R9,E10&gt;F9),AND(R10=R11,G10&gt;F11))</f>
        <v>0</v>
      </c>
      <c r="N10" s="570" t="str">
        <f>SUM(C10:G10)&amp;"-"&amp;SUM(F7:F11)</f>
        <v>0-0</v>
      </c>
      <c r="O10" s="571">
        <f>C10+D10+E10+G10-F7-F8-F9-F11</f>
        <v>0</v>
      </c>
      <c r="P10" s="572" t="e">
        <f>SUM(C10:G10,F7:F11)/SUM(F7:F11)</f>
        <v>#DIV/0!</v>
      </c>
      <c r="Q10" s="579">
        <f>VALUE(LEFT(H10,1))</f>
        <v>0</v>
      </c>
      <c r="R10" s="574">
        <f>Q10*100000+J10*10000+K10*1000+100*L10</f>
        <v>0</v>
      </c>
      <c r="S10" s="590">
        <f>R10+M10*0.1+IF(ISNONTEXT(B10),0,0.01)+0.0001*O10</f>
        <v>0.01</v>
      </c>
      <c r="T10" s="575" t="str">
        <f>Q10&amp;J10</f>
        <v>00</v>
      </c>
      <c r="U10" s="584"/>
      <c r="AD10" s="458">
        <f t="shared" ca="1" si="0"/>
        <v>382</v>
      </c>
      <c r="AE10" s="459">
        <f ca="1">IFERROR(INDEX(Reit!$I:$I,MATCH(AF10,Reit!$F:$F,0)),"")</f>
        <v>232</v>
      </c>
      <c r="AF10" s="460" t="str">
        <f t="shared" si="1"/>
        <v>Aarne Välja</v>
      </c>
      <c r="AG10" s="459">
        <f ca="1">IFERROR(INDEX(Reit!$I:$I,MATCH(AH10,Reit!$F:$F,0)),"")</f>
        <v>150</v>
      </c>
      <c r="AH10" s="460" t="str">
        <f t="shared" si="2"/>
        <v>Janek Tarto</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hidden="1" x14ac:dyDescent="0.2">
      <c r="A11" s="550">
        <v>5</v>
      </c>
      <c r="B11" s="581"/>
      <c r="C11" s="564"/>
      <c r="D11" s="564"/>
      <c r="E11" s="612"/>
      <c r="F11" s="612"/>
      <c r="G11" s="562"/>
      <c r="H11" s="565" t="str">
        <f>(IF(C11-G7&gt;0,1)+IF(D11-G8&gt;0,1)+IF(E11-G9&gt;0,1)+IF(F11-G10&gt;0,1))&amp;"-"&amp;(IF(C11-G7&lt;0,1)+IF(D11-G8&lt;0,1)+IF(E11-G9&lt;0,1)+IF(F11-G10&lt;0,1))</f>
        <v>0-0</v>
      </c>
      <c r="I11" s="564" t="str">
        <f>IF(AND(B11&lt;&gt;"",R$6=TRUE),A$6&amp;RANK(S11,S$7:S$11,0)," ")</f>
        <v xml:space="preserve"> </v>
      </c>
      <c r="J11" s="577">
        <f>IF(AND(Q11=1,Q7=1,C11&gt;G7),1)+IF(AND(Q11=1,Q8=1,D11&gt;G8),1)+IF(AND(Q11=1,Q9=1,E11&gt;G9),1)+IF(AND(Q11=1,Q10=1,F11&gt;G10),1)+IF(AND(Q11=2,Q7=2,C11&gt;G7),1)+IF(AND(Q11=2,Q8=2,D11&gt;G8),1)+IF(AND(Q11=2,Q9=2,E11&gt;G9),1)+IF(AND(Q11=2,Q10=2,F11&gt;G10),1)+IF(AND(Q11=3,Q7=3,C11&gt;G7),1)+IF(AND(Q11=3,Q8=3,D11&gt;G8),1)+IF(AND(Q11=3,Q9=3,E11&gt;G9),1)+IF(AND(Q11=3,Q10=3,F11&gt;G10),1)</f>
        <v>0</v>
      </c>
      <c r="K11" s="569">
        <f>SUM(AND(T11=T7,C11&gt;G7),AND(T11=T8,D11&gt;G8),AND(T11=T9,E11&gt;G9),AND(T11=T10,F11&gt;G10))</f>
        <v>0</v>
      </c>
      <c r="L11" s="578">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569">
        <f>SUM(AND(R11=R7,C11&gt;G7),AND(R11=R8,D11&gt;G8),AND(R11=R9,E11&gt;G9),AND(R11=R10,F11&gt;G10))</f>
        <v>0</v>
      </c>
      <c r="N11" s="570" t="str">
        <f>SUM(C11:G11)&amp;"-"&amp;SUM(G7:G11)</f>
        <v>0-0</v>
      </c>
      <c r="O11" s="571">
        <f>C11+D11+E11+F11-G7-G8-G9-G10</f>
        <v>0</v>
      </c>
      <c r="P11" s="572" t="e">
        <f>SUM(C11:G11,G7:G11)/SUM(G7:G11)</f>
        <v>#DIV/0!</v>
      </c>
      <c r="Q11" s="579">
        <f>VALUE(LEFT(H11,1))</f>
        <v>0</v>
      </c>
      <c r="R11" s="574">
        <f>Q11*100000+J11*10000+K11*1000+100*L11</f>
        <v>0</v>
      </c>
      <c r="S11" s="590">
        <f>R11+M11*0.1+IF(ISNONTEXT(B11),0,0.01)+0.0001*O11</f>
        <v>0</v>
      </c>
      <c r="T11" s="575" t="str">
        <f>Q11&amp;J11</f>
        <v>00</v>
      </c>
      <c r="U11" s="584"/>
      <c r="AD11" s="458">
        <f t="shared" si="0"/>
        <v>0</v>
      </c>
      <c r="AE11" s="459" t="str">
        <f>IFERROR(INDEX(Reit!$I:$I,MATCH(AF11,Reit!$F:$F,0)),"")</f>
        <v/>
      </c>
      <c r="AF11" s="460" t="str">
        <f t="shared" si="1"/>
        <v/>
      </c>
      <c r="AG11" s="459" t="str">
        <f>IFERROR(INDEX(Reit!$I:$I,MATCH(AH11,Reit!$F:$F,0)),"")</f>
        <v/>
      </c>
      <c r="AH11" s="460" t="str">
        <f t="shared" si="2"/>
        <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hidden="1" x14ac:dyDescent="0.2">
      <c r="A12" s="592"/>
      <c r="B12" s="593"/>
      <c r="C12" s="594"/>
      <c r="D12" s="595"/>
      <c r="E12" s="594"/>
      <c r="F12" s="596"/>
      <c r="G12" s="597"/>
      <c r="H12" s="598"/>
      <c r="I12" s="405"/>
      <c r="J12" s="584"/>
      <c r="K12" s="584"/>
      <c r="L12" s="584"/>
      <c r="M12" s="584"/>
      <c r="N12" s="584"/>
      <c r="O12" s="584"/>
      <c r="P12" s="584"/>
      <c r="Q12" s="584"/>
      <c r="R12" s="588" t="s">
        <v>311</v>
      </c>
      <c r="S12" s="584"/>
      <c r="T12" s="584"/>
      <c r="U12" s="584"/>
      <c r="AD12" s="458">
        <f t="shared" si="0"/>
        <v>0</v>
      </c>
      <c r="AE12" s="459" t="str">
        <f>IFERROR(INDEX(Reit!$I:$I,MATCH(AF12,Reit!$F:$F,0)),"")</f>
        <v/>
      </c>
      <c r="AF12" s="460" t="str">
        <f t="shared" si="1"/>
        <v/>
      </c>
      <c r="AG12" s="459" t="str">
        <f>IFERROR(INDEX(Reit!$I:$I,MATCH(AH12,Reit!$F:$F,0)),"")</f>
        <v/>
      </c>
      <c r="AH12" s="460" t="str">
        <f t="shared" si="2"/>
        <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hidden="1" x14ac:dyDescent="0.2">
      <c r="A13" s="550" t="s">
        <v>201</v>
      </c>
      <c r="B13" s="551"/>
      <c r="C13" s="552">
        <v>1</v>
      </c>
      <c r="D13" s="552">
        <v>2</v>
      </c>
      <c r="E13" s="552">
        <v>3</v>
      </c>
      <c r="F13" s="552">
        <v>4</v>
      </c>
      <c r="G13" s="552">
        <v>5</v>
      </c>
      <c r="H13" s="553" t="s">
        <v>288</v>
      </c>
      <c r="I13" s="553" t="s">
        <v>270</v>
      </c>
      <c r="J13" s="554" t="s">
        <v>289</v>
      </c>
      <c r="K13" s="555" t="s">
        <v>290</v>
      </c>
      <c r="L13" s="556" t="s">
        <v>291</v>
      </c>
      <c r="M13" s="556" t="s">
        <v>292</v>
      </c>
      <c r="N13" s="608" t="s">
        <v>322</v>
      </c>
      <c r="O13" s="608" t="s">
        <v>322</v>
      </c>
      <c r="P13" s="589" t="s">
        <v>294</v>
      </c>
      <c r="Q13" s="558" t="s">
        <v>183</v>
      </c>
      <c r="R13" s="558" t="b">
        <f>OR(AND(COUNTA(B14:B18)=3,COUNTA(C14:G18)=6),AND(COUNTA(B14:B18)=4,COUNTA(C14:G18)=12),AND(COUNTA(B14:B18)=5,COUNTA(C14:G18)=20))</f>
        <v>0</v>
      </c>
      <c r="S13" s="559" t="s">
        <v>295</v>
      </c>
      <c r="T13" s="560" t="s">
        <v>296</v>
      </c>
      <c r="U13" s="584"/>
      <c r="AD13" s="458">
        <f t="shared" si="0"/>
        <v>0</v>
      </c>
      <c r="AE13" s="459" t="str">
        <f>IFERROR(INDEX(Reit!$I:$I,MATCH(AF13,Reit!$F:$F,0)),"")</f>
        <v/>
      </c>
      <c r="AF13" s="460" t="str">
        <f t="shared" si="1"/>
        <v/>
      </c>
      <c r="AG13" s="459" t="str">
        <f>IFERROR(INDEX(Reit!$I:$I,MATCH(AH13,Reit!$F:$F,0)),"")</f>
        <v/>
      </c>
      <c r="AH13" s="460" t="str">
        <f t="shared" si="2"/>
        <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hidden="1" x14ac:dyDescent="0.2">
      <c r="A14" s="550">
        <v>1</v>
      </c>
      <c r="B14" s="534" t="s">
        <v>255</v>
      </c>
      <c r="C14" s="562"/>
      <c r="D14" s="582"/>
      <c r="E14" s="564"/>
      <c r="F14" s="582"/>
      <c r="G14" s="564"/>
      <c r="H14" s="565" t="str">
        <f>(IF(D14-C15&gt;0,1)+IF(E14-C16&gt;0,1)+IF(F14-C17&gt;0,1)+IF(G14-C18&gt;0,1))&amp;"-"&amp;(IF(D14-C15&lt;0,1)+IF(E14-C16&lt;0,1)+IF(F14-C17&lt;0,1)+IF(G14-C18&lt;0,1))</f>
        <v>0-0</v>
      </c>
      <c r="I14" s="564" t="str">
        <f>IF(AND(B14&lt;&gt;"",R$6=TRUE),A$13&amp;RANK(S14,S$14:S$18,0)," ")</f>
        <v xml:space="preserve"> </v>
      </c>
      <c r="J14" s="566">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567">
        <f>SUM(AND(T14=T15,D14&gt;C15),AND(T14=T16,E14&gt;C16),AND(T14=T17,F14&gt;C17),AND(T14=T18,G14&gt;C18))</f>
        <v>0</v>
      </c>
      <c r="L14" s="568">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569">
        <f>SUM(AND(R14=R15,D14&gt;C15),AND(R14=R16,E14&gt;C16),AND(R14=R17,F14&gt;C17),AND(R14=R18,G14&gt;C18))</f>
        <v>0</v>
      </c>
      <c r="N14" s="570" t="str">
        <f>SUM(C14:G14)&amp;"-"&amp;SUM(C14:C18)</f>
        <v>0-0</v>
      </c>
      <c r="O14" s="571">
        <f>D14+E14+F14+G14-C15-C16-C17-C18</f>
        <v>0</v>
      </c>
      <c r="P14" s="572" t="e">
        <f>SUM(C14:G14,C14:C18)/SUM(C14:C18)</f>
        <v>#DIV/0!</v>
      </c>
      <c r="Q14" s="573">
        <f>VALUE(LEFT(H14,1))</f>
        <v>0</v>
      </c>
      <c r="R14" s="574">
        <f>Q14*100000+J14*10000+K14*1000+100*L14</f>
        <v>0</v>
      </c>
      <c r="S14" s="590">
        <f>R14+M14*0.1+IF(ISNONTEXT(B14),0,0.01)+0.0001*O14</f>
        <v>0.01</v>
      </c>
      <c r="T14" s="575" t="str">
        <f>Q14&amp;J14</f>
        <v>00</v>
      </c>
      <c r="U14" s="584"/>
      <c r="AD14" s="458">
        <f t="shared" ca="1" si="0"/>
        <v>403</v>
      </c>
      <c r="AE14" s="459">
        <f ca="1">IFERROR(INDEX(Reit!$I:$I,MATCH(AF14,Reit!$F:$F,0)),"")</f>
        <v>197</v>
      </c>
      <c r="AF14" s="460" t="str">
        <f t="shared" si="1"/>
        <v>Andres Veski</v>
      </c>
      <c r="AG14" s="459">
        <f ca="1">IFERROR(INDEX(Reit!$I:$I,MATCH(AH14,Reit!$F:$F,0)),"")</f>
        <v>206</v>
      </c>
      <c r="AH14" s="460" t="str">
        <f t="shared" si="2"/>
        <v>Svetlana Veski</v>
      </c>
      <c r="AI14" s="459" t="str">
        <f>IFERROR(INDEX(Reit!$I:$I,MATCH(AJ14,Reit!$F:$F,0)),"")</f>
        <v/>
      </c>
      <c r="AJ14" s="460" t="str">
        <f t="shared" si="3"/>
        <v/>
      </c>
      <c r="AK14" s="459" t="str">
        <f>IFERROR(INDEX(Reit!$I:$I,MATCH(AL14,Reit!$F:$F,0)),"")</f>
        <v/>
      </c>
      <c r="AL14" s="460" t="str">
        <f t="shared" si="4"/>
        <v/>
      </c>
      <c r="AM14" s="459" t="str">
        <f>IFERROR(INDEX(Reit!$I:$I,MATCH(AN14,Reit!$F:$F,0)),"")</f>
        <v/>
      </c>
      <c r="AN14" s="460" t="str">
        <f t="shared" si="5"/>
        <v/>
      </c>
      <c r="AO14" s="459" t="str">
        <f>IFERROR(INDEX(Reit!$I:$I,MATCH(AP14,Reit!$F:$F,0)),"")</f>
        <v/>
      </c>
      <c r="AP14" s="460" t="str">
        <f t="shared" si="6"/>
        <v/>
      </c>
    </row>
    <row r="15" spans="1:42" hidden="1" x14ac:dyDescent="0.2">
      <c r="A15" s="550">
        <v>2</v>
      </c>
      <c r="B15" s="561" t="s">
        <v>251</v>
      </c>
      <c r="C15" s="582"/>
      <c r="D15" s="562"/>
      <c r="E15" s="564"/>
      <c r="F15" s="582"/>
      <c r="G15" s="564"/>
      <c r="H15" s="565" t="str">
        <f>(IF(C15-D14&gt;0,1)+IF(E15-D16&gt;0,1)+IF(F15-D17&gt;0,1)+IF(G15-D18&gt;0,1))&amp;"-"&amp;(IF(C15-D14&lt;0,1)+IF(E15-D16&lt;0,1)+IF(F15-D17&lt;0,1)+IF(G15-D18&lt;0,1))</f>
        <v>0-0</v>
      </c>
      <c r="I15" s="564" t="str">
        <f>IF(AND(B15&lt;&gt;"",R$6=TRUE),A$13&amp;RANK(S15,S$14:S$18,0)," ")</f>
        <v xml:space="preserve"> </v>
      </c>
      <c r="J15" s="577">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569">
        <f>SUM(AND(T15=T14,C15&gt;D14),AND(T15=T16,E15&gt;D16),AND(T15=T17,F15&gt;D17),AND(T15=T18,G15&gt;D18))</f>
        <v>0</v>
      </c>
      <c r="L15" s="578">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569">
        <f>SUM(AND(R15=R14,C15&gt;D14),AND(R15=R16,E15&gt;D16),AND(R15=R17,F15&gt;D17),AND(R15=R18,G15&gt;D18))</f>
        <v>0</v>
      </c>
      <c r="N15" s="570" t="str">
        <f>SUM(C15:G15)&amp;"-"&amp;SUM(D14:D18)</f>
        <v>0-0</v>
      </c>
      <c r="O15" s="571">
        <f>C15+E15+F15+G15-D14-D16-D17-D18</f>
        <v>0</v>
      </c>
      <c r="P15" s="572" t="e">
        <f>SUM(C15:G15,D14:D18)/SUM(D14:D18)</f>
        <v>#DIV/0!</v>
      </c>
      <c r="Q15" s="579">
        <f>VALUE(LEFT(H15,1))</f>
        <v>0</v>
      </c>
      <c r="R15" s="574">
        <f>Q15*100000+J15*10000+K15*1000+100*L15</f>
        <v>0</v>
      </c>
      <c r="S15" s="590">
        <f>R15+M15*0.1+IF(ISNONTEXT(B15),0,0.01)+0.0001*O15</f>
        <v>0.01</v>
      </c>
      <c r="T15" s="575" t="str">
        <f>Q15&amp;J15</f>
        <v>00</v>
      </c>
      <c r="U15" s="584"/>
      <c r="AD15" s="458">
        <f t="shared" ca="1" si="0"/>
        <v>334</v>
      </c>
      <c r="AE15" s="459">
        <f ca="1">IFERROR(INDEX(Reit!$I:$I,MATCH(AF15,Reit!$F:$F,0)),"")</f>
        <v>178</v>
      </c>
      <c r="AF15" s="460" t="str">
        <f t="shared" si="1"/>
        <v>Meelis Luud</v>
      </c>
      <c r="AG15" s="459">
        <f ca="1">IFERROR(INDEX(Reit!$I:$I,MATCH(AH15,Reit!$F:$F,0)),"")</f>
        <v>156</v>
      </c>
      <c r="AH15" s="460" t="str">
        <f t="shared" si="2"/>
        <v>Sander Rose</v>
      </c>
      <c r="AI15" s="459" t="str">
        <f>IFERROR(INDEX(Reit!$I:$I,MATCH(AJ15,Reit!$F:$F,0)),"")</f>
        <v/>
      </c>
      <c r="AJ15" s="460" t="str">
        <f t="shared" si="3"/>
        <v/>
      </c>
      <c r="AK15" s="459" t="str">
        <f>IFERROR(INDEX(Reit!$I:$I,MATCH(AL15,Reit!$F:$F,0)),"")</f>
        <v/>
      </c>
      <c r="AL15" s="460" t="str">
        <f t="shared" si="4"/>
        <v/>
      </c>
      <c r="AM15" s="459" t="str">
        <f>IFERROR(INDEX(Reit!$I:$I,MATCH(AN15,Reit!$F:$F,0)),"")</f>
        <v/>
      </c>
      <c r="AN15" s="460" t="str">
        <f t="shared" si="5"/>
        <v/>
      </c>
      <c r="AO15" s="459" t="str">
        <f>IFERROR(INDEX(Reit!$I:$I,MATCH(AP15,Reit!$F:$F,0)),"")</f>
        <v/>
      </c>
      <c r="AP15" s="460" t="str">
        <f t="shared" si="6"/>
        <v/>
      </c>
    </row>
    <row r="16" spans="1:42" hidden="1" x14ac:dyDescent="0.2">
      <c r="A16" s="550">
        <v>3</v>
      </c>
      <c r="B16" s="576" t="s">
        <v>338</v>
      </c>
      <c r="C16" s="564"/>
      <c r="D16" s="580"/>
      <c r="E16" s="562"/>
      <c r="F16" s="564"/>
      <c r="G16" s="564"/>
      <c r="H16" s="565" t="str">
        <f>(IF(C16-E14&gt;0,1)+IF(D16-E15&gt;0,1)+IF(F16-E17&gt;0,1)+IF(G16-E18&gt;0,1))&amp;"-"&amp;(IF(C16-E14&lt;0,1)+IF(D16-E15&lt;0,1)+IF(F16-E17&lt;0,1)+IF(G16-E18&lt;0,1))</f>
        <v>0-0</v>
      </c>
      <c r="I16" s="564" t="str">
        <f>IF(AND(B16&lt;&gt;"",R$6=TRUE),A$13&amp;RANK(S16,S$14:S$18,0)," ")</f>
        <v xml:space="preserve"> </v>
      </c>
      <c r="J16" s="577">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569">
        <f>SUM(AND(T16=T14,C16&gt;E14),AND(T16=T15,D16&gt;E15),AND(T16=T17,F16&gt;E17),AND(T16=T18,G16&gt;E18))</f>
        <v>0</v>
      </c>
      <c r="L16" s="578">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569">
        <f>SUM(AND(R16=R14,C16&gt;E14),AND(R16=R15,D16&gt;E15),AND(R16=R17,F16&gt;E17),AND(R16=R18,G16&gt;E18))</f>
        <v>0</v>
      </c>
      <c r="N16" s="570" t="str">
        <f>SUM(C16:G16)&amp;"-"&amp;SUM(E14:E18)</f>
        <v>0-0</v>
      </c>
      <c r="O16" s="571">
        <f>C16+D16+F16+G16-E14-E15-E17-E18</f>
        <v>0</v>
      </c>
      <c r="P16" s="572" t="e">
        <f>SUM(C16:G16,E14:E18)/SUM(E14:E18)</f>
        <v>#DIV/0!</v>
      </c>
      <c r="Q16" s="579">
        <f>VALUE(LEFT(H16,1))</f>
        <v>0</v>
      </c>
      <c r="R16" s="574">
        <f>Q16*100000+J16*10000+K16*1000+100*L16</f>
        <v>0</v>
      </c>
      <c r="S16" s="590">
        <f>R16+M16*0.1+IF(ISNONTEXT(B16),0,0.01)+0.0001*O16</f>
        <v>0.01</v>
      </c>
      <c r="T16" s="575" t="str">
        <f>Q16&amp;J16</f>
        <v>00</v>
      </c>
      <c r="U16" s="584"/>
      <c r="AD16" s="458">
        <f t="shared" ca="1" si="0"/>
        <v>281</v>
      </c>
      <c r="AE16" s="459">
        <f ca="1">IFERROR(INDEX(Reit!$I:$I,MATCH(AF16,Reit!$F:$F,0)),"")</f>
        <v>149</v>
      </c>
      <c r="AF16" s="460" t="str">
        <f t="shared" si="1"/>
        <v>Ljudmila Varendi</v>
      </c>
      <c r="AG16" s="459">
        <f ca="1">IFERROR(INDEX(Reit!$I:$I,MATCH(AH16,Reit!$F:$F,0)),"")</f>
        <v>132</v>
      </c>
      <c r="AH16" s="460" t="str">
        <f t="shared" si="2"/>
        <v>Viktor Švarõgin</v>
      </c>
      <c r="AI16" s="459" t="str">
        <f>IFERROR(INDEX(Reit!$I:$I,MATCH(AJ16,Reit!$F:$F,0)),"")</f>
        <v/>
      </c>
      <c r="AJ16" s="460" t="str">
        <f t="shared" si="3"/>
        <v/>
      </c>
      <c r="AK16" s="459" t="str">
        <f>IFERROR(INDEX(Reit!$I:$I,MATCH(AL16,Reit!$F:$F,0)),"")</f>
        <v/>
      </c>
      <c r="AL16" s="460" t="str">
        <f t="shared" si="4"/>
        <v/>
      </c>
      <c r="AM16" s="459" t="str">
        <f>IFERROR(INDEX(Reit!$I:$I,MATCH(AN16,Reit!$F:$F,0)),"")</f>
        <v/>
      </c>
      <c r="AN16" s="460" t="str">
        <f t="shared" si="5"/>
        <v/>
      </c>
      <c r="AO16" s="459" t="str">
        <f>IFERROR(INDEX(Reit!$I:$I,MATCH(AP16,Reit!$F:$F,0)),"")</f>
        <v/>
      </c>
      <c r="AP16" s="460" t="str">
        <f t="shared" si="6"/>
        <v/>
      </c>
    </row>
    <row r="17" spans="1:42" hidden="1" x14ac:dyDescent="0.2">
      <c r="A17" s="550">
        <v>4</v>
      </c>
      <c r="B17" s="581" t="s">
        <v>268</v>
      </c>
      <c r="C17" s="582"/>
      <c r="D17" s="613"/>
      <c r="E17" s="564"/>
      <c r="F17" s="562"/>
      <c r="G17" s="591"/>
      <c r="H17" s="565" t="str">
        <f>(IF(C17-F14&gt;0,1)+IF(D17-F15&gt;0,1)+IF(E17-F16&gt;0,1)+IF(G17-F18&gt;0,1))&amp;"-"&amp;(IF(C17-F14&lt;0,1)+IF(D17-F15&lt;0,1)+IF(E17-F16&lt;0,1)+IF(G17-F18&lt;0,1))</f>
        <v>0-0</v>
      </c>
      <c r="I17" s="564" t="str">
        <f>IF(AND(B17&lt;&gt;"",R$6=TRUE),A$13&amp;RANK(S17,S$14:S$18,0)," ")</f>
        <v xml:space="preserve"> </v>
      </c>
      <c r="J17" s="577">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569">
        <f>SUM(AND(T17=T14,C17&gt;F14),AND(T17=T15,D17&gt;F15),AND(T17=T16,E17&gt;F16),AND(T17=T18,G17&gt;F18))</f>
        <v>0</v>
      </c>
      <c r="L17" s="578">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569">
        <f>SUM(AND(R17=R14,C17&gt;F14),AND(R17=R15,D17&gt;F15),AND(R17=R16,E17&gt;F16),AND(R17=R18,G17&gt;F18))</f>
        <v>0</v>
      </c>
      <c r="N17" s="570" t="str">
        <f>SUM(C17:G17)&amp;"-"&amp;SUM(F14:F18)</f>
        <v>0-0</v>
      </c>
      <c r="O17" s="571">
        <f>C17+D17+E17+G17-F14-F15-F16-F18</f>
        <v>0</v>
      </c>
      <c r="P17" s="572" t="e">
        <f>SUM(C17:G17,F14:F18)/SUM(F14:F18)</f>
        <v>#DIV/0!</v>
      </c>
      <c r="Q17" s="579">
        <f>VALUE(LEFT(H17,1))</f>
        <v>0</v>
      </c>
      <c r="R17" s="574">
        <f>Q17*100000+J17*10000+K17*1000+100*L17</f>
        <v>0</v>
      </c>
      <c r="S17" s="590">
        <f>R17+M17*0.1+IF(ISNONTEXT(B17),0,0.01)+0.0001*O17</f>
        <v>0.01</v>
      </c>
      <c r="T17" s="575" t="str">
        <f>Q17&amp;J17</f>
        <v>00</v>
      </c>
      <c r="U17" s="584"/>
      <c r="AD17" s="458">
        <f t="shared" ca="1" si="0"/>
        <v>344</v>
      </c>
      <c r="AE17" s="459">
        <f ca="1">IFERROR(INDEX(Reit!$I:$I,MATCH(AF17,Reit!$F:$F,0)),"")</f>
        <v>185</v>
      </c>
      <c r="AF17" s="460" t="str">
        <f t="shared" si="1"/>
        <v>Boriss Klubov</v>
      </c>
      <c r="AG17" s="459">
        <f ca="1">IFERROR(INDEX(Reit!$I:$I,MATCH(AH17,Reit!$F:$F,0)),"")</f>
        <v>159</v>
      </c>
      <c r="AH17" s="460" t="str">
        <f t="shared" si="2"/>
        <v>Elmo Lageda</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hidden="1" x14ac:dyDescent="0.2">
      <c r="A18" s="550">
        <v>5</v>
      </c>
      <c r="B18" s="581"/>
      <c r="C18" s="564"/>
      <c r="D18" s="564"/>
      <c r="E18" s="564"/>
      <c r="F18" s="564"/>
      <c r="G18" s="562"/>
      <c r="H18" s="565" t="str">
        <f>(IF(C18-G14&gt;0,1)+IF(D18-G15&gt;0,1)+IF(E18-G16&gt;0,1)+IF(F18-G17&gt;0,1))&amp;"-"&amp;(IF(C18-G14&lt;0,1)+IF(D18-G15&lt;0,1)+IF(E18-G16&lt;0,1)+IF(F18-G17&lt;0,1))</f>
        <v>0-0</v>
      </c>
      <c r="I18" s="564" t="str">
        <f>IF(AND(B18&lt;&gt;"",R$6=TRUE),A$13&amp;RANK(S18,S$14:S$18,0)," ")</f>
        <v xml:space="preserve"> </v>
      </c>
      <c r="J18" s="577">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569">
        <f>SUM(AND(T18=T14,C18&gt;G14),AND(T18=T15,D18&gt;G15),AND(T18=T16,E18&gt;G16),AND(T18=T17,F18&gt;G17))</f>
        <v>0</v>
      </c>
      <c r="L18" s="578">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569">
        <f>SUM(AND(R18=R14,C18&gt;G14),AND(R18=R15,D18&gt;G15),AND(R18=R16,E18&gt;G16),AND(R18=R17,F18&gt;G17))</f>
        <v>0</v>
      </c>
      <c r="N18" s="570" t="str">
        <f>SUM(C18:G18)&amp;"-"&amp;SUM(G14:G18)</f>
        <v>0-0</v>
      </c>
      <c r="O18" s="571">
        <f>C18+D18+E18+F18-G14-G15-G16-G17</f>
        <v>0</v>
      </c>
      <c r="P18" s="572" t="e">
        <f>SUM(C18:G18,G14:G18)/SUM(G14:G18)</f>
        <v>#DIV/0!</v>
      </c>
      <c r="Q18" s="579">
        <f>VALUE(LEFT(H18,1))</f>
        <v>0</v>
      </c>
      <c r="R18" s="574">
        <f>Q18*100000+J18*10000+K18*1000+100*L18</f>
        <v>0</v>
      </c>
      <c r="S18" s="590">
        <f>R18+M18*0.1+IF(ISNONTEXT(B18),0,0.01)+0.0001*O18</f>
        <v>0</v>
      </c>
      <c r="T18" s="575" t="str">
        <f>Q18&amp;J18</f>
        <v>00</v>
      </c>
      <c r="U18" s="584"/>
      <c r="AD18" s="458">
        <f t="shared" ref="AD18:AD33" si="7">SUM(AE18:AL18)</f>
        <v>0</v>
      </c>
      <c r="AE18" s="459" t="str">
        <f>IFERROR(INDEX(Reit!$I:$I,MATCH(AF18,Reit!$F:$F,0)),"")</f>
        <v/>
      </c>
      <c r="AF18" s="460" t="str">
        <f t="shared" si="1"/>
        <v/>
      </c>
      <c r="AG18" s="459" t="str">
        <f>IFERROR(INDEX(Reit!$I:$I,MATCH(AH18,Reit!$F:$F,0)),"")</f>
        <v/>
      </c>
      <c r="AH18" s="460" t="str">
        <f t="shared" si="2"/>
        <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19" s="592"/>
      <c r="B19" s="593"/>
      <c r="C19" s="594"/>
      <c r="D19" s="595"/>
      <c r="E19" s="594"/>
      <c r="F19" s="596"/>
      <c r="G19" s="597"/>
      <c r="H19" s="598"/>
      <c r="I19" s="614"/>
      <c r="J19" s="584"/>
      <c r="K19" s="584"/>
      <c r="L19" s="584"/>
      <c r="M19" s="584"/>
      <c r="N19" s="584"/>
      <c r="O19" s="584"/>
      <c r="P19" s="584"/>
      <c r="Q19" s="584"/>
      <c r="R19" s="588" t="s">
        <v>311</v>
      </c>
      <c r="S19" s="584"/>
      <c r="T19" s="584"/>
      <c r="U19" s="584"/>
      <c r="AD19" s="458">
        <f t="shared" si="7"/>
        <v>0</v>
      </c>
      <c r="AE19" s="459" t="str">
        <f>IFERROR(INDEX(Reit!$I:$I,MATCH(AF19,Reit!$F:$F,0)),"")</f>
        <v/>
      </c>
      <c r="AF19" s="460" t="str">
        <f t="shared" si="1"/>
        <v/>
      </c>
      <c r="AG19" s="459" t="str">
        <f>IFERROR(INDEX(Reit!$I:$I,MATCH(AH19,Reit!$F:$F,0)),"")</f>
        <v/>
      </c>
      <c r="AH19" s="460" t="str">
        <f t="shared" si="2"/>
        <v/>
      </c>
      <c r="AI19" s="459" t="str">
        <f>IFERROR(INDEX(Reit!$I:$I,MATCH(AJ19,Reit!$F:$F,0)),"")</f>
        <v/>
      </c>
      <c r="AJ19" s="460" t="str">
        <f t="shared" si="3"/>
        <v/>
      </c>
      <c r="AK19" s="459" t="str">
        <f>IFERROR(INDEX(Reit!$I:$I,MATCH(AL19,Reit!$F:$F,0)),"")</f>
        <v/>
      </c>
      <c r="AL19" s="460" t="str">
        <f t="shared" si="4"/>
        <v/>
      </c>
      <c r="AM19" s="459" t="str">
        <f>IFERROR(INDEX(Reit!$I:$I,MATCH(AN19,Reit!$F:$F,0)),"")</f>
        <v/>
      </c>
      <c r="AN19" s="460" t="str">
        <f t="shared" si="5"/>
        <v/>
      </c>
      <c r="AO19" s="459" t="str">
        <f>IFERROR(INDEX(Reit!$I:$I,MATCH(AP19,Reit!$F:$F,0)),"")</f>
        <v/>
      </c>
      <c r="AP19" s="460" t="str">
        <f t="shared" si="6"/>
        <v/>
      </c>
    </row>
    <row r="20" spans="1:42" hidden="1" x14ac:dyDescent="0.2">
      <c r="A20" s="550" t="s">
        <v>202</v>
      </c>
      <c r="B20" s="551"/>
      <c r="C20" s="552">
        <v>1</v>
      </c>
      <c r="D20" s="552">
        <v>2</v>
      </c>
      <c r="E20" s="552">
        <v>3</v>
      </c>
      <c r="F20" s="552">
        <v>4</v>
      </c>
      <c r="G20" s="552">
        <v>5</v>
      </c>
      <c r="H20" s="553" t="s">
        <v>288</v>
      </c>
      <c r="I20" s="553" t="s">
        <v>270</v>
      </c>
      <c r="J20" s="554" t="s">
        <v>289</v>
      </c>
      <c r="K20" s="555" t="s">
        <v>290</v>
      </c>
      <c r="L20" s="556" t="s">
        <v>291</v>
      </c>
      <c r="M20" s="556" t="s">
        <v>292</v>
      </c>
      <c r="N20" s="608" t="s">
        <v>322</v>
      </c>
      <c r="O20" s="608" t="s">
        <v>322</v>
      </c>
      <c r="P20" s="589" t="s">
        <v>294</v>
      </c>
      <c r="Q20" s="558" t="s">
        <v>183</v>
      </c>
      <c r="R20" s="558" t="b">
        <f>OR(AND(COUNTA(B21:B25)=3,COUNTA(C21:G25)=6),AND(COUNTA(B21:B25)=4,COUNTA(C21:G25)=12),AND(COUNTA(B21:B25)=5,COUNTA(C21:G25)=20))</f>
        <v>0</v>
      </c>
      <c r="S20" s="559" t="s">
        <v>295</v>
      </c>
      <c r="T20" s="560" t="s">
        <v>296</v>
      </c>
      <c r="U20" s="584"/>
      <c r="AD20" s="458">
        <f t="shared" si="7"/>
        <v>0</v>
      </c>
      <c r="AE20" s="459" t="str">
        <f>IFERROR(INDEX(Reit!$I:$I,MATCH(AF20,Reit!$F:$F,0)),"")</f>
        <v/>
      </c>
      <c r="AF20" s="460" t="str">
        <f t="shared" si="1"/>
        <v/>
      </c>
      <c r="AG20" s="459" t="str">
        <f>IFERROR(INDEX(Reit!$I:$I,MATCH(AH20,Reit!$F:$F,0)),"")</f>
        <v/>
      </c>
      <c r="AH20" s="460" t="str">
        <f t="shared" si="2"/>
        <v/>
      </c>
      <c r="AI20" s="459" t="str">
        <f>IFERROR(INDEX(Reit!$I:$I,MATCH(AJ20,Reit!$F:$F,0)),"")</f>
        <v/>
      </c>
      <c r="AJ20" s="460" t="str">
        <f t="shared" si="3"/>
        <v/>
      </c>
      <c r="AK20" s="459" t="str">
        <f>IFERROR(INDEX(Reit!$I:$I,MATCH(AL20,Reit!$F:$F,0)),"")</f>
        <v/>
      </c>
      <c r="AL20" s="460" t="str">
        <f t="shared" si="4"/>
        <v/>
      </c>
      <c r="AM20" s="459" t="str">
        <f>IFERROR(INDEX(Reit!$I:$I,MATCH(AN20,Reit!$F:$F,0)),"")</f>
        <v/>
      </c>
      <c r="AN20" s="460" t="str">
        <f t="shared" si="5"/>
        <v/>
      </c>
      <c r="AO20" s="459" t="str">
        <f>IFERROR(INDEX(Reit!$I:$I,MATCH(AP20,Reit!$F:$F,0)),"")</f>
        <v/>
      </c>
      <c r="AP20" s="460" t="str">
        <f t="shared" si="6"/>
        <v/>
      </c>
    </row>
    <row r="21" spans="1:42" hidden="1" x14ac:dyDescent="0.2">
      <c r="A21" s="550">
        <v>1</v>
      </c>
      <c r="B21" s="561" t="s">
        <v>250</v>
      </c>
      <c r="C21" s="562"/>
      <c r="D21" s="564"/>
      <c r="E21" s="582"/>
      <c r="F21" s="564"/>
      <c r="G21" s="582"/>
      <c r="H21" s="565" t="str">
        <f>(IF(D21-C22&gt;0,1)+IF(E21-C23&gt;0,1)+IF(F21-C24&gt;0,1)+IF(G21-C25&gt;0,1))&amp;"-"&amp;(IF(D21-C22&lt;0,1)+IF(E21-C23&lt;0,1)+IF(F21-C24&lt;0,1)+IF(G21-C25&lt;0,1))</f>
        <v>0-0</v>
      </c>
      <c r="I21" s="564" t="str">
        <f>IF(AND(B21&lt;&gt;"",R$20=TRUE),A$20&amp;RANK(S21,S$21:S$25,0)," ")</f>
        <v xml:space="preserve"> </v>
      </c>
      <c r="J21" s="566">
        <f>IF(AND(Q21=1,Q22=1,D21&gt;C22),1)+IF(AND(Q21=1,Q23=1,E21&gt;C23),1)+IF(AND(Q21=1,Q24=1,F21&gt;C24),1)+IF(AND(Q21=1,Q25=1,G21&gt;C25),1)+IF(AND(Q21=2,Q22=2,D21&gt;C22),1)+IF(AND(Q21=2,Q23=2,E21&gt;C23),1)+IF(AND(Q21=2,Q24=2,F21&gt;C24),1)+IF(AND(Q21=2,Q25=2,G21&gt;C25),1)+IF(AND(Q21=3,Q22=3,D21&gt;C22),1)+IF(AND(Q21=3,Q23=3,E21&gt;C23),1)+IF(AND(Q21=3,Q24=3,F21&gt;C24),1)+IF(AND(Q21=3,Q25=3,G21&gt;C25),1)</f>
        <v>0</v>
      </c>
      <c r="K21" s="567">
        <f>SUM(AND(T21=T22,D21&gt;C22),AND(T21=T23,E21&gt;C23),AND(T21=T24,F21&gt;C24),AND(T21=T25,G21&gt;C25))</f>
        <v>0</v>
      </c>
      <c r="L21" s="568">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0</v>
      </c>
      <c r="M21" s="569">
        <f>SUM(AND(R21=R22,D21&gt;C22),AND(R21=R23,E21&gt;C23),AND(R21=R24,F21&gt;C24),AND(R21=R25,G21&gt;C25))</f>
        <v>0</v>
      </c>
      <c r="N21" s="570" t="str">
        <f>SUM(C21:G21)&amp;"-"&amp;SUM(C21:C25)</f>
        <v>0-0</v>
      </c>
      <c r="O21" s="571">
        <f>D21+E21+F21+G21-C22-C23-C24-C25</f>
        <v>0</v>
      </c>
      <c r="P21" s="572" t="e">
        <f>SUM(C21:G21,C21:C25)/SUM(C21:C25)</f>
        <v>#DIV/0!</v>
      </c>
      <c r="Q21" s="573">
        <f>VALUE(LEFT(H21,1))</f>
        <v>0</v>
      </c>
      <c r="R21" s="574">
        <f>Q21*100000+J21*10000+K21*1000+100*L21</f>
        <v>0</v>
      </c>
      <c r="S21" s="590">
        <f>R21+M21*0.1+IF(ISNONTEXT(B21),0,0.01)+0.0001*O21</f>
        <v>0.01</v>
      </c>
      <c r="T21" s="575" t="str">
        <f>Q21&amp;J21</f>
        <v>00</v>
      </c>
      <c r="U21" s="584"/>
      <c r="AD21" s="458">
        <f t="shared" ca="1" si="7"/>
        <v>226</v>
      </c>
      <c r="AE21" s="459">
        <f ca="1">IFERROR(INDEX(Reit!$I:$I,MATCH(AF21,Reit!$F:$F,0)),"")</f>
        <v>132</v>
      </c>
      <c r="AF21" s="460" t="str">
        <f t="shared" si="1"/>
        <v>Tõnu Kapper</v>
      </c>
      <c r="AG21" s="459">
        <f ca="1">IFERROR(INDEX(Reit!$I:$I,MATCH(AH21,Reit!$F:$F,0)),"")</f>
        <v>94</v>
      </c>
      <c r="AH21" s="460" t="str">
        <f t="shared" si="2"/>
        <v>Vladimir Ogneštšikov</v>
      </c>
      <c r="AI21" s="459" t="str">
        <f>IFERROR(INDEX(Reit!$I:$I,MATCH(AJ21,Reit!$F:$F,0)),"")</f>
        <v/>
      </c>
      <c r="AJ21" s="460" t="str">
        <f t="shared" si="3"/>
        <v/>
      </c>
      <c r="AK21" s="459" t="str">
        <f>IFERROR(INDEX(Reit!$I:$I,MATCH(AL21,Reit!$F:$F,0)),"")</f>
        <v/>
      </c>
      <c r="AL21" s="460" t="str">
        <f t="shared" si="4"/>
        <v/>
      </c>
      <c r="AM21" s="459" t="str">
        <f>IFERROR(INDEX(Reit!$I:$I,MATCH(AN21,Reit!$F:$F,0)),"")</f>
        <v/>
      </c>
      <c r="AN21" s="460" t="str">
        <f t="shared" si="5"/>
        <v/>
      </c>
      <c r="AO21" s="459" t="str">
        <f>IFERROR(INDEX(Reit!$I:$I,MATCH(AP21,Reit!$F:$F,0)),"")</f>
        <v/>
      </c>
      <c r="AP21" s="460" t="str">
        <f t="shared" si="6"/>
        <v/>
      </c>
    </row>
    <row r="22" spans="1:42" hidden="1" x14ac:dyDescent="0.2">
      <c r="A22" s="550">
        <v>2</v>
      </c>
      <c r="B22" s="576" t="s">
        <v>466</v>
      </c>
      <c r="C22" s="564"/>
      <c r="D22" s="562"/>
      <c r="E22" s="564"/>
      <c r="F22" s="564"/>
      <c r="G22" s="564"/>
      <c r="H22" s="565" t="str">
        <f>(IF(C22-D21&gt;0,1)+IF(E22-D23&gt;0,1)+IF(F22-D24&gt;0,1)+IF(G22-D25&gt;0,1))&amp;"-"&amp;(IF(C22-D21&lt;0,1)+IF(E22-D23&lt;0,1)+IF(F22-D24&lt;0,1)+IF(G22-D25&lt;0,1))</f>
        <v>0-0</v>
      </c>
      <c r="I22" s="564" t="str">
        <f>IF(AND(B22&lt;&gt;"",R$20=TRUE),A$20&amp;RANK(S22,S$21:S$25,0)," ")</f>
        <v xml:space="preserve"> </v>
      </c>
      <c r="J22" s="577">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569">
        <f>SUM(AND(T22=T21,C22&gt;D21),AND(T22=T23,E22&gt;D23),AND(T22=T24,F22&gt;D24),AND(T22=T25,G22&gt;D25))</f>
        <v>0</v>
      </c>
      <c r="L22" s="578">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569">
        <f>SUM(AND(R22=R21,C22&gt;D21),AND(R22=R23,E22&gt;D23),AND(R22=R24,F22&gt;D24),AND(R22=R25,G22&gt;D25))</f>
        <v>0</v>
      </c>
      <c r="N22" s="570" t="str">
        <f>SUM(C22:G22)&amp;"-"&amp;SUM(D21:D25)</f>
        <v>0-0</v>
      </c>
      <c r="O22" s="571">
        <f>C22+E22+F22+G22-D21-D23-D24-D25</f>
        <v>0</v>
      </c>
      <c r="P22" s="572" t="e">
        <f>SUM(C22:G22,D21:D25)/SUM(D21:D25)</f>
        <v>#DIV/0!</v>
      </c>
      <c r="Q22" s="579">
        <f>VALUE(LEFT(H22,1))</f>
        <v>0</v>
      </c>
      <c r="R22" s="574">
        <f>Q22*100000+J22*10000+K22*1000+100*L22</f>
        <v>0</v>
      </c>
      <c r="S22" s="590">
        <f>R22+M22*0.1+IF(ISNONTEXT(B22),0,0.01)+0.0001*O22</f>
        <v>0.01</v>
      </c>
      <c r="T22" s="575" t="str">
        <f>Q22&amp;J22</f>
        <v>00</v>
      </c>
      <c r="U22" s="584"/>
      <c r="AD22" s="458">
        <f t="shared" ca="1" si="7"/>
        <v>198</v>
      </c>
      <c r="AE22" s="459">
        <f ca="1">IFERROR(INDEX(Reit!$I:$I,MATCH(AF22,Reit!$F:$F,0)),"")</f>
        <v>68</v>
      </c>
      <c r="AF22" s="460" t="str">
        <f t="shared" si="1"/>
        <v>Enn Tokman</v>
      </c>
      <c r="AG22" s="459" t="str">
        <f>IFERROR(INDEX(Reit!$I:$I,MATCH(AH22,Reit!$F:$F,0)),"")</f>
        <v/>
      </c>
      <c r="AH22" s="460" t="str">
        <f t="shared" si="2"/>
        <v>Lemmit Toomra, Tarmo Bombe</v>
      </c>
      <c r="AI22" s="459">
        <f ca="1">IFERROR(INDEX(Reit!$I:$I,MATCH(AJ22,Reit!$F:$F,0)),"")</f>
        <v>92</v>
      </c>
      <c r="AJ22" s="460" t="str">
        <f t="shared" si="3"/>
        <v>Lemmit Toomra</v>
      </c>
      <c r="AK22" s="459">
        <f ca="1">IFERROR(INDEX(Reit!$I:$I,MATCH(AL22,Reit!$F:$F,0)),"")</f>
        <v>38</v>
      </c>
      <c r="AL22" s="460" t="str">
        <f t="shared" si="4"/>
        <v>Tarmo Bombe</v>
      </c>
      <c r="AM22" s="459" t="str">
        <f>IFERROR(INDEX(Reit!$I:$I,MATCH(AN22,Reit!$F:$F,0)),"")</f>
        <v/>
      </c>
      <c r="AN22" s="460" t="str">
        <f t="shared" si="5"/>
        <v/>
      </c>
      <c r="AO22" s="459" t="str">
        <f>IFERROR(INDEX(Reit!$I:$I,MATCH(AP22,Reit!$F:$F,0)),"")</f>
        <v/>
      </c>
      <c r="AP22" s="460" t="str">
        <f t="shared" si="6"/>
        <v/>
      </c>
    </row>
    <row r="23" spans="1:42" hidden="1" x14ac:dyDescent="0.2">
      <c r="A23" s="550">
        <v>3</v>
      </c>
      <c r="B23" s="576" t="s">
        <v>467</v>
      </c>
      <c r="C23" s="582"/>
      <c r="D23" s="580"/>
      <c r="E23" s="562"/>
      <c r="F23" s="564"/>
      <c r="G23" s="582"/>
      <c r="H23" s="565" t="str">
        <f>(IF(C23-E21&gt;0,1)+IF(D23-E22&gt;0,1)+IF(F23-E24&gt;0,1)+IF(G23-E25&gt;0,1))&amp;"-"&amp;(IF(C23-E21&lt;0,1)+IF(D23-E22&lt;0,1)+IF(F23-E24&lt;0,1)+IF(G23-E25&lt;0,1))</f>
        <v>0-0</v>
      </c>
      <c r="I23" s="564" t="str">
        <f>IF(AND(B23&lt;&gt;"",R$20=TRUE),A$20&amp;RANK(S23,S$21:S$25,0)," ")</f>
        <v xml:space="preserve"> </v>
      </c>
      <c r="J23" s="577">
        <f>IF(AND(Q23=1,Q21=1,C23&gt;E21),1)+IF(AND(Q23=1,Q22=1,D23&gt;E22),1)+IF(AND(Q23=1,Q24=1,F23&gt;E24),1)+IF(AND(Q23=1,Q25=1,G23&gt;E25),1)+IF(AND(Q23=2,Q21=2,C23&gt;E21),1)+IF(AND(Q23=2,Q22=2,D23&gt;E22),1)+IF(AND(Q23=2,Q24=2,F23&gt;E24),1)+IF(AND(Q23=2,Q25=2,G23&gt;E25),1)+IF(AND(Q23=3,Q21=3,C23&gt;E21),1)+IF(AND(Q23=3,Q22=3,D23&gt;E22),1)+IF(AND(Q23=3,Q24=3,F23&gt;E24),1)+IF(AND(Q23=3,Q25=3,G23&gt;E25),1)</f>
        <v>0</v>
      </c>
      <c r="K23" s="569">
        <f>SUM(AND(T23=T21,C23&gt;E21),AND(T23=T22,D23&gt;E22),AND(T23=T24,F23&gt;E24),AND(T23=T25,G23&gt;E25))</f>
        <v>0</v>
      </c>
      <c r="L23" s="578">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0</v>
      </c>
      <c r="M23" s="569">
        <f>SUM(AND(R23=R21,C23&gt;E21),AND(R23=R22,D23&gt;E22),AND(R23=R24,F23&gt;E24),AND(R23=R25,G23&gt;E25))</f>
        <v>0</v>
      </c>
      <c r="N23" s="570" t="str">
        <f>SUM(C23:G23)&amp;"-"&amp;SUM(E21:E25)</f>
        <v>0-0</v>
      </c>
      <c r="O23" s="571">
        <f>C23+D23+F23+G23-E21-E22-E24-E25</f>
        <v>0</v>
      </c>
      <c r="P23" s="572" t="e">
        <f>SUM(C23:G23,E21:E25)/SUM(E21:E25)</f>
        <v>#DIV/0!</v>
      </c>
      <c r="Q23" s="579">
        <f>VALUE(LEFT(H23,1))</f>
        <v>0</v>
      </c>
      <c r="R23" s="574">
        <f>Q23*100000+J23*10000+K23*1000+100*L23</f>
        <v>0</v>
      </c>
      <c r="S23" s="590">
        <f>R23+M23*0.1+IF(ISNONTEXT(B23),0,0.01)+0.0001*O23</f>
        <v>0.01</v>
      </c>
      <c r="T23" s="575" t="str">
        <f>Q23&amp;J23</f>
        <v>00</v>
      </c>
      <c r="U23" s="584"/>
      <c r="AD23" s="458">
        <f t="shared" ca="1" si="7"/>
        <v>164</v>
      </c>
      <c r="AE23" s="459">
        <f ca="1">IFERROR(INDEX(Reit!$I:$I,MATCH(AF23,Reit!$F:$F,0)),"")</f>
        <v>34</v>
      </c>
      <c r="AF23" s="460" t="str">
        <f t="shared" si="1"/>
        <v>Aleksandr Tipakov</v>
      </c>
      <c r="AG23" s="459">
        <f ca="1">IFERROR(INDEX(Reit!$I:$I,MATCH(AH23,Reit!$F:$F,0)),"")</f>
        <v>130</v>
      </c>
      <c r="AH23" s="460" t="str">
        <f t="shared" si="2"/>
        <v>Marta Bernat</v>
      </c>
      <c r="AI23" s="459" t="str">
        <f>IFERROR(INDEX(Reit!$I:$I,MATCH(AJ23,Reit!$F:$F,0)),"")</f>
        <v/>
      </c>
      <c r="AJ23" s="460" t="str">
        <f t="shared" si="3"/>
        <v/>
      </c>
      <c r="AK23" s="459" t="str">
        <f>IFERROR(INDEX(Reit!$I:$I,MATCH(AL23,Reit!$F:$F,0)),"")</f>
        <v/>
      </c>
      <c r="AL23" s="460" t="str">
        <f t="shared" si="4"/>
        <v/>
      </c>
      <c r="AM23" s="459" t="str">
        <f>IFERROR(INDEX(Reit!$I:$I,MATCH(AN23,Reit!$F:$F,0)),"")</f>
        <v/>
      </c>
      <c r="AN23" s="460" t="str">
        <f t="shared" si="5"/>
        <v/>
      </c>
      <c r="AO23" s="459" t="str">
        <f>IFERROR(INDEX(Reit!$I:$I,MATCH(AP23,Reit!$F:$F,0)),"")</f>
        <v/>
      </c>
      <c r="AP23" s="460" t="str">
        <f t="shared" si="6"/>
        <v/>
      </c>
    </row>
    <row r="24" spans="1:42" hidden="1" x14ac:dyDescent="0.2">
      <c r="A24" s="550">
        <v>4</v>
      </c>
      <c r="B24" s="576" t="s">
        <v>260</v>
      </c>
      <c r="C24" s="564"/>
      <c r="D24" s="580"/>
      <c r="E24" s="564"/>
      <c r="F24" s="562"/>
      <c r="G24" s="591"/>
      <c r="H24" s="565" t="str">
        <f>(IF(C24-F21&gt;0,1)+IF(D24-F22&gt;0,1)+IF(E24-F23&gt;0,1)+IF(G24-F25&gt;0,1))&amp;"-"&amp;(IF(C24-F21&lt;0,1)+IF(D24-F22&lt;0,1)+IF(E24-F23&lt;0,1)+IF(G24-F25&lt;0,1))</f>
        <v>0-0</v>
      </c>
      <c r="I24" s="564" t="str">
        <f>IF(AND(B24&lt;&gt;"",R$20=TRUE),A$20&amp;RANK(S24,S$21:S$25,0)," ")</f>
        <v xml:space="preserve"> </v>
      </c>
      <c r="J24" s="577">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569">
        <f>SUM(AND(T24=T21,C24&gt;F21),AND(T24=T22,D24&gt;F22),AND(T24=T23,E24&gt;F23),AND(T24=T25,G24&gt;F25))</f>
        <v>0</v>
      </c>
      <c r="L24" s="578">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569">
        <f>SUM(AND(R24=R21,C24&gt;F21),AND(R24=R22,D24&gt;F22),AND(R24=R23,E24&gt;F23),AND(R24=R25,G24&gt;F25))</f>
        <v>0</v>
      </c>
      <c r="N24" s="570" t="str">
        <f>SUM(C24:G24)&amp;"-"&amp;SUM(F21:F25)</f>
        <v>0-0</v>
      </c>
      <c r="O24" s="571">
        <f>C24+D24+E24+G24-F21-F22-F23-F25</f>
        <v>0</v>
      </c>
      <c r="P24" s="572" t="e">
        <f>SUM(C24:G24,F21:F25)/SUM(F21:F25)</f>
        <v>#DIV/0!</v>
      </c>
      <c r="Q24" s="579">
        <f>VALUE(LEFT(H24,1))</f>
        <v>0</v>
      </c>
      <c r="R24" s="574">
        <f>Q24*100000+J24*10000+K24*1000+100*L24</f>
        <v>0</v>
      </c>
      <c r="S24" s="590">
        <f>R24+M24*0.1+IF(ISNONTEXT(B24),0,0.01)+0.0001*O24</f>
        <v>0.01</v>
      </c>
      <c r="T24" s="575" t="str">
        <f>Q24&amp;J24</f>
        <v>00</v>
      </c>
      <c r="U24" s="584"/>
      <c r="AD24" s="458">
        <f t="shared" ca="1" si="7"/>
        <v>52</v>
      </c>
      <c r="AE24" s="459">
        <f ca="1">IFERROR(INDEX(Reit!$I:$I,MATCH(AF24,Reit!$F:$F,0)),"")</f>
        <v>18</v>
      </c>
      <c r="AF24" s="460" t="str">
        <f t="shared" si="1"/>
        <v>Heili Vasser</v>
      </c>
      <c r="AG24" s="459">
        <f ca="1">IFERROR(INDEX(Reit!$I:$I,MATCH(AH24,Reit!$F:$F,0)),"")</f>
        <v>34</v>
      </c>
      <c r="AH24" s="460" t="str">
        <f t="shared" si="2"/>
        <v>Vello Vasser</v>
      </c>
      <c r="AI24" s="459" t="str">
        <f>IFERROR(INDEX(Reit!$I:$I,MATCH(AJ24,Reit!$F:$F,0)),"")</f>
        <v/>
      </c>
      <c r="AJ24" s="460" t="str">
        <f t="shared" si="3"/>
        <v/>
      </c>
      <c r="AK24" s="459" t="str">
        <f>IFERROR(INDEX(Reit!$I:$I,MATCH(AL24,Reit!$F:$F,0)),"")</f>
        <v/>
      </c>
      <c r="AL24" s="460" t="str">
        <f t="shared" si="4"/>
        <v/>
      </c>
      <c r="AM24" s="459" t="str">
        <f>IFERROR(INDEX(Reit!$I:$I,MATCH(AN24,Reit!$F:$F,0)),"")</f>
        <v/>
      </c>
      <c r="AN24" s="460" t="str">
        <f t="shared" si="5"/>
        <v/>
      </c>
      <c r="AO24" s="459" t="str">
        <f>IFERROR(INDEX(Reit!$I:$I,MATCH(AP24,Reit!$F:$F,0)),"")</f>
        <v/>
      </c>
      <c r="AP24" s="460" t="str">
        <f t="shared" si="6"/>
        <v/>
      </c>
    </row>
    <row r="25" spans="1:42" hidden="1" x14ac:dyDescent="0.2">
      <c r="A25" s="550">
        <v>5</v>
      </c>
      <c r="B25" s="581"/>
      <c r="C25" s="582"/>
      <c r="D25" s="564"/>
      <c r="E25" s="582"/>
      <c r="F25" s="564"/>
      <c r="G25" s="562"/>
      <c r="H25" s="565" t="str">
        <f>(IF(C25-G21&gt;0,1)+IF(D25-G22&gt;0,1)+IF(E25-G23&gt;0,1)+IF(F25-G24&gt;0,1))&amp;"-"&amp;(IF(C25-G21&lt;0,1)+IF(D25-G22&lt;0,1)+IF(E25-G23&lt;0,1)+IF(F25-G24&lt;0,1))</f>
        <v>0-0</v>
      </c>
      <c r="I25" s="564" t="str">
        <f>IF(AND(B25&lt;&gt;"",R$20=TRUE),A$20&amp;RANK(S25,S$21:S$25,0)," ")</f>
        <v xml:space="preserve"> </v>
      </c>
      <c r="J25" s="577">
        <f>IF(AND(Q25=1,Q21=1,C25&gt;G21),1)+IF(AND(Q25=1,Q22=1,D25&gt;G22),1)+IF(AND(Q25=1,Q23=1,E25&gt;G23),1)+IF(AND(Q25=1,Q24=1,F25&gt;G24),1)+IF(AND(Q25=2,Q21=2,C25&gt;G21),1)+IF(AND(Q25=2,Q22=2,D25&gt;G22),1)+IF(AND(Q25=2,Q23=2,E25&gt;G23),1)+IF(AND(Q25=2,Q24=2,F25&gt;G24),1)+IF(AND(Q25=3,Q21=3,C25&gt;G21),1)+IF(AND(Q25=3,Q22=3,D25&gt;G22),1)+IF(AND(Q25=3,Q23=3,E25&gt;G23),1)+IF(AND(Q25=3,Q24=3,F25&gt;G24),1)</f>
        <v>0</v>
      </c>
      <c r="K25" s="569">
        <f>SUM(AND(T25=T21,C25&gt;G21),AND(T25=T22,D25&gt;G22),AND(T25=T23,E25&gt;G23),AND(T25=T24,F25&gt;G24))</f>
        <v>0</v>
      </c>
      <c r="L25" s="578">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0</v>
      </c>
      <c r="M25" s="569">
        <f>SUM(AND(R25=R21,C25&gt;G21),AND(R25=R22,D25&gt;G22),AND(R25=R23,E25&gt;G23),AND(R25=R24,F25&gt;G24))</f>
        <v>0</v>
      </c>
      <c r="N25" s="570" t="str">
        <f>SUM(C25:G25)&amp;"-"&amp;SUM(G21:G25)</f>
        <v>0-0</v>
      </c>
      <c r="O25" s="571">
        <f>C25+D25+E25+F25-G21-G22-G23-G24</f>
        <v>0</v>
      </c>
      <c r="P25" s="572" t="e">
        <f>SUM(C25:G25,G21:G25)/SUM(G21:G25)</f>
        <v>#DIV/0!</v>
      </c>
      <c r="Q25" s="579">
        <f>VALUE(LEFT(H25,1))</f>
        <v>0</v>
      </c>
      <c r="R25" s="574">
        <f>Q25*100000+J25*10000+K25*1000+100*L25</f>
        <v>0</v>
      </c>
      <c r="S25" s="590">
        <f>R25+M25*0.1+IF(ISNONTEXT(B25),0,0.01)+0.0001*O25</f>
        <v>0</v>
      </c>
      <c r="T25" s="575" t="str">
        <f>Q25&amp;J25</f>
        <v>00</v>
      </c>
      <c r="U25" s="584"/>
      <c r="AD25" s="458">
        <f t="shared" si="7"/>
        <v>0</v>
      </c>
      <c r="AE25" s="459" t="str">
        <f>IFERROR(INDEX(Reit!$I:$I,MATCH(AF25,Reit!$F:$F,0)),"")</f>
        <v/>
      </c>
      <c r="AF25" s="460" t="str">
        <f t="shared" si="1"/>
        <v/>
      </c>
      <c r="AG25" s="459" t="str">
        <f>IFERROR(INDEX(Reit!$I:$I,MATCH(AH25,Reit!$F:$F,0)),"")</f>
        <v/>
      </c>
      <c r="AH25" s="460" t="str">
        <f t="shared" si="2"/>
        <v/>
      </c>
      <c r="AI25" s="459" t="str">
        <f>IFERROR(INDEX(Reit!$I:$I,MATCH(AJ25,Reit!$F:$F,0)),"")</f>
        <v/>
      </c>
      <c r="AJ25" s="460" t="str">
        <f t="shared" si="3"/>
        <v/>
      </c>
      <c r="AK25" s="459" t="str">
        <f>IFERROR(INDEX(Reit!$I:$I,MATCH(AL25,Reit!$F:$F,0)),"")</f>
        <v/>
      </c>
      <c r="AL25" s="460" t="str">
        <f t="shared" si="4"/>
        <v/>
      </c>
      <c r="AM25" s="459" t="str">
        <f>IFERROR(INDEX(Reit!$I:$I,MATCH(AN25,Reit!$F:$F,0)),"")</f>
        <v/>
      </c>
      <c r="AN25" s="460" t="str">
        <f t="shared" si="5"/>
        <v/>
      </c>
      <c r="AO25" s="459" t="str">
        <f>IFERROR(INDEX(Reit!$I:$I,MATCH(AP25,Reit!$F:$F,0)),"")</f>
        <v/>
      </c>
      <c r="AP25" s="460" t="str">
        <f t="shared" si="6"/>
        <v/>
      </c>
    </row>
    <row r="26" spans="1:42" hidden="1" x14ac:dyDescent="0.2">
      <c r="A26" s="615"/>
      <c r="B26" s="587"/>
      <c r="C26" s="597"/>
      <c r="D26" s="597"/>
      <c r="E26" s="597"/>
      <c r="F26" s="616"/>
      <c r="G26" s="616"/>
      <c r="H26" s="617"/>
      <c r="I26" s="587"/>
      <c r="J26" s="584"/>
      <c r="K26" s="584"/>
      <c r="L26" s="584"/>
      <c r="M26" s="584"/>
      <c r="N26" s="584"/>
      <c r="O26" s="584"/>
      <c r="P26" s="584"/>
      <c r="Q26" s="584"/>
      <c r="R26" s="588" t="s">
        <v>311</v>
      </c>
      <c r="S26" s="584"/>
      <c r="T26" s="584"/>
      <c r="U26" s="584"/>
      <c r="AD26" s="458">
        <f t="shared" si="7"/>
        <v>0</v>
      </c>
      <c r="AE26" s="459" t="str">
        <f>IFERROR(INDEX(Reit!$I:$I,MATCH(AF26,Reit!$F:$F,0)),"")</f>
        <v/>
      </c>
      <c r="AF26" s="460" t="str">
        <f t="shared" si="1"/>
        <v/>
      </c>
      <c r="AG26" s="459" t="str">
        <f>IFERROR(INDEX(Reit!$I:$I,MATCH(AH26,Reit!$F:$F,0)),"")</f>
        <v/>
      </c>
      <c r="AH26" s="460" t="str">
        <f t="shared" si="2"/>
        <v/>
      </c>
      <c r="AI26" s="459" t="str">
        <f>IFERROR(INDEX(Reit!$I:$I,MATCH(AJ26,Reit!$F:$F,0)),"")</f>
        <v/>
      </c>
      <c r="AJ26" s="460" t="str">
        <f t="shared" si="3"/>
        <v/>
      </c>
      <c r="AK26" s="459" t="str">
        <f>IFERROR(INDEX(Reit!$I:$I,MATCH(AL26,Reit!$F:$F,0)),"")</f>
        <v/>
      </c>
      <c r="AL26" s="460" t="str">
        <f t="shared" si="4"/>
        <v/>
      </c>
      <c r="AM26" s="459" t="str">
        <f>IFERROR(INDEX(Reit!$I:$I,MATCH(AN26,Reit!$F:$F,0)),"")</f>
        <v/>
      </c>
      <c r="AN26" s="460" t="str">
        <f t="shared" si="5"/>
        <v/>
      </c>
      <c r="AO26" s="459" t="str">
        <f>IFERROR(INDEX(Reit!$I:$I,MATCH(AP26,Reit!$F:$F,0)),"")</f>
        <v/>
      </c>
      <c r="AP26" s="460" t="str">
        <f t="shared" si="6"/>
        <v/>
      </c>
    </row>
    <row r="27" spans="1:42" hidden="1" x14ac:dyDescent="0.2">
      <c r="A27" s="550" t="s">
        <v>203</v>
      </c>
      <c r="B27" s="551"/>
      <c r="C27" s="552">
        <v>1</v>
      </c>
      <c r="D27" s="552">
        <v>2</v>
      </c>
      <c r="E27" s="552">
        <v>3</v>
      </c>
      <c r="F27" s="552">
        <v>4</v>
      </c>
      <c r="G27" s="552">
        <v>5</v>
      </c>
      <c r="H27" s="553" t="s">
        <v>288</v>
      </c>
      <c r="I27" s="553" t="s">
        <v>270</v>
      </c>
      <c r="J27" s="554" t="s">
        <v>289</v>
      </c>
      <c r="K27" s="555" t="s">
        <v>290</v>
      </c>
      <c r="L27" s="556" t="s">
        <v>291</v>
      </c>
      <c r="M27" s="556" t="s">
        <v>292</v>
      </c>
      <c r="N27" s="608" t="s">
        <v>322</v>
      </c>
      <c r="O27" s="608" t="s">
        <v>322</v>
      </c>
      <c r="P27" s="589" t="s">
        <v>294</v>
      </c>
      <c r="Q27" s="558" t="s">
        <v>183</v>
      </c>
      <c r="R27" s="558" t="b">
        <f>OR(AND(COUNTA(B28:B32)=3,COUNTA(C28:G32)=6),AND(COUNTA(B28:B32)=4,COUNTA(C28:G32)=12),AND(COUNTA(B28:B32)=5,COUNTA(C28:G32)=20))</f>
        <v>0</v>
      </c>
      <c r="S27" s="559" t="s">
        <v>295</v>
      </c>
      <c r="T27" s="560" t="s">
        <v>296</v>
      </c>
      <c r="U27" s="584"/>
      <c r="AD27" s="458">
        <f t="shared" si="7"/>
        <v>0</v>
      </c>
      <c r="AE27" s="459" t="str">
        <f>IFERROR(INDEX(Reit!$I:$I,MATCH(AF27,Reit!$F:$F,0)),"")</f>
        <v/>
      </c>
      <c r="AF27" s="460" t="str">
        <f t="shared" si="1"/>
        <v/>
      </c>
      <c r="AG27" s="459" t="str">
        <f>IFERROR(INDEX(Reit!$I:$I,MATCH(AH27,Reit!$F:$F,0)),"")</f>
        <v/>
      </c>
      <c r="AH27" s="460" t="str">
        <f t="shared" si="2"/>
        <v/>
      </c>
      <c r="AI27" s="459" t="str">
        <f>IFERROR(INDEX(Reit!$I:$I,MATCH(AJ27,Reit!$F:$F,0)),"")</f>
        <v/>
      </c>
      <c r="AJ27" s="460" t="str">
        <f t="shared" si="3"/>
        <v/>
      </c>
      <c r="AK27" s="459" t="str">
        <f>IFERROR(INDEX(Reit!$I:$I,MATCH(AL27,Reit!$F:$F,0)),"")</f>
        <v/>
      </c>
      <c r="AL27" s="460" t="str">
        <f t="shared" si="4"/>
        <v/>
      </c>
      <c r="AM27" s="459" t="str">
        <f>IFERROR(INDEX(Reit!$I:$I,MATCH(AN27,Reit!$F:$F,0)),"")</f>
        <v/>
      </c>
      <c r="AN27" s="460" t="str">
        <f t="shared" si="5"/>
        <v/>
      </c>
      <c r="AO27" s="459" t="str">
        <f>IFERROR(INDEX(Reit!$I:$I,MATCH(AP27,Reit!$F:$F,0)),"")</f>
        <v/>
      </c>
      <c r="AP27" s="460" t="str">
        <f t="shared" si="6"/>
        <v/>
      </c>
    </row>
    <row r="28" spans="1:42" hidden="1" x14ac:dyDescent="0.2">
      <c r="A28" s="550">
        <v>1</v>
      </c>
      <c r="B28" s="618" t="s">
        <v>468</v>
      </c>
      <c r="C28" s="562"/>
      <c r="D28" s="564"/>
      <c r="E28" s="564"/>
      <c r="F28" s="563"/>
      <c r="G28" s="564"/>
      <c r="H28" s="565" t="str">
        <f>(IF(D28-C29&gt;0,1)+IF(E28-C30&gt;0,1)+IF(F28-C31&gt;0,1)+IF(G28-C32&gt;0,1))&amp;"-"&amp;(IF(D28-C29&lt;0,1)+IF(E28-C30&lt;0,1)+IF(F28-C31&lt;0,1)+IF(G28-C32&lt;0,1))</f>
        <v>0-0</v>
      </c>
      <c r="I28" s="564" t="str">
        <f>IF(AND(B28&lt;&gt;"",R$27=TRUE),A$27&amp;RANK(S28,S$28:S$32,0)," ")</f>
        <v xml:space="preserve"> </v>
      </c>
      <c r="J28" s="566">
        <f>IF(AND(Q28=1,Q29=1,D28&gt;C29),1)+IF(AND(Q28=1,Q30=1,E28&gt;C30),1)+IF(AND(Q28=1,Q31=1,F28&gt;C31),1)+IF(AND(Q28=1,Q32=1,G28&gt;C32),1)+IF(AND(Q28=2,Q29=2,D28&gt;C29),1)+IF(AND(Q28=2,Q30=2,E28&gt;C30),1)+IF(AND(Q28=2,Q31=2,F28&gt;C31),1)+IF(AND(Q28=2,Q32=2,G28&gt;C32),1)+IF(AND(Q28=3,Q29=3,D28&gt;C29),1)+IF(AND(Q28=3,Q30=3,E28&gt;C30),1)+IF(AND(Q28=3,Q31=3,F28&gt;C31),1)+IF(AND(Q28=3,Q32=3,G28&gt;C32),1)</f>
        <v>0</v>
      </c>
      <c r="K28" s="567">
        <f>SUM(AND(T28=T29,D28&gt;C29),AND(T28=T30,E28&gt;C30),AND(T28=T31,F28&gt;C31),AND(T28=T32,G28&gt;C32))</f>
        <v>0</v>
      </c>
      <c r="L28" s="568">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0</v>
      </c>
      <c r="M28" s="569">
        <f>SUM(AND(R28=R29,D28&gt;C29),AND(R28=R30,E28&gt;C30),AND(R28=R31,F28&gt;C31),AND(R28=R32,G28&gt;C32))</f>
        <v>0</v>
      </c>
      <c r="N28" s="570" t="str">
        <f>SUM(C28:G28)&amp;"-"&amp;SUM(C28:C32)</f>
        <v>0-0</v>
      </c>
      <c r="O28" s="571">
        <f>D28+E28+F28+G28-C29-C30-C31-C32</f>
        <v>0</v>
      </c>
      <c r="P28" s="572" t="e">
        <f>SUM(C28:G28,C28:C32)/SUM(C28:C32)</f>
        <v>#DIV/0!</v>
      </c>
      <c r="Q28" s="573">
        <f>VALUE(LEFT(H28,1))</f>
        <v>0</v>
      </c>
      <c r="R28" s="574">
        <f>Q28*100000+J28*10000+K28*1000+100*L28</f>
        <v>0</v>
      </c>
      <c r="S28" s="590">
        <f>R28+M28*0.1+IF(ISNONTEXT(B28),0,0.01)+0.0001*O28</f>
        <v>0.01</v>
      </c>
      <c r="T28" s="575" t="str">
        <f>Q28&amp;J28</f>
        <v>00</v>
      </c>
      <c r="U28" s="584"/>
      <c r="AD28" s="458">
        <f t="shared" ca="1" si="7"/>
        <v>485</v>
      </c>
      <c r="AE28" s="459">
        <f ca="1">IFERROR(INDEX(Reit!$I:$I,MATCH(AF28,Reit!$F:$F,0)),"")</f>
        <v>273</v>
      </c>
      <c r="AF28" s="460" t="str">
        <f t="shared" si="1"/>
        <v>Kenneth Muusikus</v>
      </c>
      <c r="AG28" s="459">
        <f ca="1">IFERROR(INDEX(Reit!$I:$I,MATCH(AH28,Reit!$F:$F,0)),"")</f>
        <v>212</v>
      </c>
      <c r="AH28" s="460" t="str">
        <f t="shared" si="2"/>
        <v>Oleg Rõndenkov</v>
      </c>
      <c r="AI28" s="459" t="str">
        <f>IFERROR(INDEX(Reit!$I:$I,MATCH(AJ28,Reit!$F:$F,0)),"")</f>
        <v/>
      </c>
      <c r="AJ28" s="460" t="str">
        <f t="shared" si="3"/>
        <v/>
      </c>
      <c r="AK28" s="459" t="str">
        <f>IFERROR(INDEX(Reit!$I:$I,MATCH(AL28,Reit!$F:$F,0)),"")</f>
        <v/>
      </c>
      <c r="AL28" s="460" t="str">
        <f t="shared" si="4"/>
        <v/>
      </c>
      <c r="AM28" s="459" t="str">
        <f>IFERROR(INDEX(Reit!$I:$I,MATCH(AN28,Reit!$F:$F,0)),"")</f>
        <v/>
      </c>
      <c r="AN28" s="460" t="str">
        <f t="shared" si="5"/>
        <v/>
      </c>
      <c r="AO28" s="459" t="str">
        <f>IFERROR(INDEX(Reit!$I:$I,MATCH(AP28,Reit!$F:$F,0)),"")</f>
        <v/>
      </c>
      <c r="AP28" s="460" t="str">
        <f t="shared" si="6"/>
        <v/>
      </c>
    </row>
    <row r="29" spans="1:42" hidden="1" x14ac:dyDescent="0.2">
      <c r="A29" s="550">
        <v>2</v>
      </c>
      <c r="B29" s="576" t="s">
        <v>257</v>
      </c>
      <c r="C29" s="564"/>
      <c r="D29" s="562"/>
      <c r="E29" s="582"/>
      <c r="F29" s="564"/>
      <c r="G29" s="564"/>
      <c r="H29" s="565" t="str">
        <f>(IF(C29-D28&gt;0,1)+IF(E29-D30&gt;0,1)+IF(F29-D31&gt;0,1)+IF(G29-D32&gt;0,1))&amp;"-"&amp;(IF(C29-D28&lt;0,1)+IF(E29-D30&lt;0,1)+IF(F29-D31&lt;0,1)+IF(G29-D32&lt;0,1))</f>
        <v>0-0</v>
      </c>
      <c r="I29" s="564" t="str">
        <f>IF(AND(B29&lt;&gt;"",R$27=TRUE),A$27&amp;RANK(S29,S$28:S$32,0)," ")</f>
        <v xml:space="preserve"> </v>
      </c>
      <c r="J29" s="577">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569">
        <f>SUM(AND(T29=T28,C29&gt;D28),AND(T29=T30,E29&gt;D30),AND(T29=T31,F29&gt;D31),AND(T29=T32,G29&gt;D32))</f>
        <v>0</v>
      </c>
      <c r="L29" s="578">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0</v>
      </c>
      <c r="M29" s="569">
        <f>SUM(AND(R29=R28,C29&gt;D28),AND(R29=R30,E29&gt;D30),AND(R29=R31,F29&gt;D31),AND(R29=R32,G29&gt;D32))</f>
        <v>0</v>
      </c>
      <c r="N29" s="570" t="str">
        <f>SUM(C29:G29)&amp;"-"&amp;SUM(D28:D32)</f>
        <v>0-0</v>
      </c>
      <c r="O29" s="571">
        <f>C29+E29+F29+G29-D28-D30-D31-D32</f>
        <v>0</v>
      </c>
      <c r="P29" s="572" t="e">
        <f>SUM(C29:G29,D28:D32)/SUM(D28:D32)</f>
        <v>#DIV/0!</v>
      </c>
      <c r="Q29" s="579">
        <f>VALUE(LEFT(H29,1))</f>
        <v>0</v>
      </c>
      <c r="R29" s="574">
        <f>Q29*100000+J29*10000+K29*1000+100*L29</f>
        <v>0</v>
      </c>
      <c r="S29" s="590">
        <f>R29+M29*0.1+IF(ISNONTEXT(B29),0,0.01)+0.0001*O29</f>
        <v>0.01</v>
      </c>
      <c r="T29" s="575" t="str">
        <f>Q29&amp;J29</f>
        <v>00</v>
      </c>
      <c r="U29" s="584"/>
      <c r="AD29" s="458">
        <f t="shared" ca="1" si="7"/>
        <v>132</v>
      </c>
      <c r="AE29" s="459">
        <f ca="1">IFERROR(INDEX(Reit!$I:$I,MATCH(AF29,Reit!$F:$F,0)),"")</f>
        <v>44</v>
      </c>
      <c r="AF29" s="460" t="str">
        <f t="shared" si="1"/>
        <v>Illar Tõnurist</v>
      </c>
      <c r="AG29" s="459">
        <f ca="1">IFERROR(INDEX(Reit!$I:$I,MATCH(AH29,Reit!$F:$F,0)),"")</f>
        <v>88</v>
      </c>
      <c r="AH29" s="460" t="str">
        <f t="shared" si="2"/>
        <v>Jaan Saar</v>
      </c>
      <c r="AI29" s="459" t="str">
        <f>IFERROR(INDEX(Reit!$I:$I,MATCH(AJ29,Reit!$F:$F,0)),"")</f>
        <v/>
      </c>
      <c r="AJ29" s="460" t="str">
        <f t="shared" si="3"/>
        <v/>
      </c>
      <c r="AK29" s="459" t="str">
        <f>IFERROR(INDEX(Reit!$I:$I,MATCH(AL29,Reit!$F:$F,0)),"")</f>
        <v/>
      </c>
      <c r="AL29" s="460" t="str">
        <f t="shared" si="4"/>
        <v/>
      </c>
      <c r="AM29" s="459" t="str">
        <f>IFERROR(INDEX(Reit!$I:$I,MATCH(AN29,Reit!$F:$F,0)),"")</f>
        <v/>
      </c>
      <c r="AN29" s="460" t="str">
        <f t="shared" si="5"/>
        <v/>
      </c>
      <c r="AO29" s="459" t="str">
        <f>IFERROR(INDEX(Reit!$I:$I,MATCH(AP29,Reit!$F:$F,0)),"")</f>
        <v/>
      </c>
      <c r="AP29" s="460" t="str">
        <f t="shared" si="6"/>
        <v/>
      </c>
    </row>
    <row r="30" spans="1:42" hidden="1" x14ac:dyDescent="0.2">
      <c r="A30" s="550">
        <v>3</v>
      </c>
      <c r="B30" s="576" t="s">
        <v>280</v>
      </c>
      <c r="C30" s="564"/>
      <c r="D30" s="613"/>
      <c r="E30" s="562"/>
      <c r="F30" s="564"/>
      <c r="G30" s="564"/>
      <c r="H30" s="565" t="str">
        <f>(IF(C30-E28&gt;0,1)+IF(D30-E29&gt;0,1)+IF(F30-E31&gt;0,1)+IF(G30-E32&gt;0,1))&amp;"-"&amp;(IF(C30-E28&lt;0,1)+IF(D30-E29&lt;0,1)+IF(F30-E31&lt;0,1)+IF(G30-E32&lt;0,1))</f>
        <v>0-0</v>
      </c>
      <c r="I30" s="564" t="str">
        <f>IF(AND(B30&lt;&gt;"",R$27=TRUE),A$27&amp;RANK(S30,S$28:S$32,0)," ")</f>
        <v xml:space="preserve"> </v>
      </c>
      <c r="J30" s="577">
        <f>IF(AND(Q30=1,Q28=1,C30&gt;E28),1)+IF(AND(Q30=1,Q29=1,D30&gt;E29),1)+IF(AND(Q30=1,Q31=1,F30&gt;E31),1)+IF(AND(Q30=1,Q32=1,G30&gt;E32),1)+IF(AND(Q30=2,Q28=2,C30&gt;E28),1)+IF(AND(Q30=2,Q29=2,D30&gt;E29),1)+IF(AND(Q30=2,Q31=2,F30&gt;E31),1)+IF(AND(Q30=2,Q32=2,G30&gt;E32),1)+IF(AND(Q30=3,Q28=3,C30&gt;E28),1)+IF(AND(Q30=3,Q29=3,D30&gt;E29),1)+IF(AND(Q30=3,Q31=3,F30&gt;E31),1)+IF(AND(Q30=3,Q32=3,G30&gt;E32),1)</f>
        <v>0</v>
      </c>
      <c r="K30" s="569">
        <f>SUM(AND(T30=T28,C30&gt;E28),AND(T30=T29,D30&gt;E29),AND(T30=T31,F30&gt;E31),AND(T30=T32,G30&gt;E32))</f>
        <v>0</v>
      </c>
      <c r="L30" s="578">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0</v>
      </c>
      <c r="M30" s="569">
        <f>SUM(AND(R30=R28,C30&gt;E28),AND(R30=R29,D30&gt;E29),AND(R30=R31,F30&gt;E31),AND(R30=R32,G30&gt;E32))</f>
        <v>0</v>
      </c>
      <c r="N30" s="570" t="str">
        <f>SUM(C30:G30)&amp;"-"&amp;SUM(E28:E32)</f>
        <v>0-0</v>
      </c>
      <c r="O30" s="571">
        <f>C30+D30+F30+G30-E28-E29-E31-E32</f>
        <v>0</v>
      </c>
      <c r="P30" s="572" t="e">
        <f>SUM(C30:G30,E28:E32)/SUM(E28:E32)</f>
        <v>#DIV/0!</v>
      </c>
      <c r="Q30" s="579">
        <f>VALUE(LEFT(H30,1))</f>
        <v>0</v>
      </c>
      <c r="R30" s="574">
        <f>Q30*100000+J30*10000+K30*1000+100*L30</f>
        <v>0</v>
      </c>
      <c r="S30" s="590">
        <f>R30+M30*0.1+IF(ISNONTEXT(B30),0,0.01)+0.0001*O30</f>
        <v>0.01</v>
      </c>
      <c r="T30" s="575" t="str">
        <f>Q30&amp;J30</f>
        <v>00</v>
      </c>
      <c r="U30" s="584"/>
      <c r="AD30" s="458">
        <f t="shared" ca="1" si="7"/>
        <v>316</v>
      </c>
      <c r="AE30" s="459">
        <f ca="1">IFERROR(INDEX(Reit!$I:$I,MATCH(AF30,Reit!$F:$F,0)),"")</f>
        <v>272</v>
      </c>
      <c r="AF30" s="460" t="str">
        <f t="shared" si="1"/>
        <v>Ivar Viljaste</v>
      </c>
      <c r="AG30" s="459">
        <f ca="1">IFERROR(INDEX(Reit!$I:$I,MATCH(AH30,Reit!$F:$F,0)),"")</f>
        <v>44</v>
      </c>
      <c r="AH30" s="460" t="str">
        <f t="shared" si="2"/>
        <v>Sirje Viljaste</v>
      </c>
      <c r="AI30" s="459" t="str">
        <f>IFERROR(INDEX(Reit!$I:$I,MATCH(AJ30,Reit!$F:$F,0)),"")</f>
        <v/>
      </c>
      <c r="AJ30" s="460" t="str">
        <f t="shared" si="3"/>
        <v/>
      </c>
      <c r="AK30" s="459" t="str">
        <f>IFERROR(INDEX(Reit!$I:$I,MATCH(AL30,Reit!$F:$F,0)),"")</f>
        <v/>
      </c>
      <c r="AL30" s="460" t="str">
        <f t="shared" si="4"/>
        <v/>
      </c>
      <c r="AM30" s="459" t="str">
        <f>IFERROR(INDEX(Reit!$I:$I,MATCH(AN30,Reit!$F:$F,0)),"")</f>
        <v/>
      </c>
      <c r="AN30" s="460" t="str">
        <f t="shared" si="5"/>
        <v/>
      </c>
      <c r="AO30" s="459" t="str">
        <f>IFERROR(INDEX(Reit!$I:$I,MATCH(AP30,Reit!$F:$F,0)),"")</f>
        <v/>
      </c>
      <c r="AP30" s="460" t="str">
        <f t="shared" si="6"/>
        <v/>
      </c>
    </row>
    <row r="31" spans="1:42" hidden="1" x14ac:dyDescent="0.2">
      <c r="A31" s="550">
        <v>4</v>
      </c>
      <c r="B31" s="581"/>
      <c r="C31" s="563"/>
      <c r="D31" s="580"/>
      <c r="E31" s="564"/>
      <c r="F31" s="562"/>
      <c r="G31" s="591"/>
      <c r="H31" s="565" t="str">
        <f>(IF(C31-F28&gt;0,1)+IF(D31-F29&gt;0,1)+IF(E31-F30&gt;0,1)+IF(G31-F32&gt;0,1))&amp;"-"&amp;(IF(C31-F28&lt;0,1)+IF(D31-F29&lt;0,1)+IF(E31-F30&lt;0,1)+IF(G31-F32&lt;0,1))</f>
        <v>0-0</v>
      </c>
      <c r="I31" s="564" t="str">
        <f>IF(AND(B31&lt;&gt;"",R$27=TRUE),A$27&amp;RANK(S31,S$28:S$32,0)," ")</f>
        <v xml:space="preserve"> </v>
      </c>
      <c r="J31" s="577">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569">
        <f>SUM(AND(T31=T28,C31&gt;F28),AND(T31=T29,D31&gt;F29),AND(T31=T30,E31&gt;F30),AND(T31=T32,G31&gt;F32))</f>
        <v>0</v>
      </c>
      <c r="L31" s="578">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0</v>
      </c>
      <c r="M31" s="569">
        <f>SUM(AND(R31=R28,C31&gt;F28),AND(R31=R29,D31&gt;F29),AND(R31=R30,E31&gt;F30),AND(R31=R32,G31&gt;F32))</f>
        <v>0</v>
      </c>
      <c r="N31" s="570" t="str">
        <f>SUM(C31:G31)&amp;"-"&amp;SUM(F28:F32)</f>
        <v>0-0</v>
      </c>
      <c r="O31" s="571">
        <f>C31+D31+E31+G31-F28-F29-F30-F32</f>
        <v>0</v>
      </c>
      <c r="P31" s="572" t="e">
        <f>SUM(C31:G31,F28:F32)/SUM(F28:F32)</f>
        <v>#DIV/0!</v>
      </c>
      <c r="Q31" s="579">
        <f>VALUE(LEFT(H31,1))</f>
        <v>0</v>
      </c>
      <c r="R31" s="574">
        <f>Q31*100000+J31*10000+K31*1000+100*L31</f>
        <v>0</v>
      </c>
      <c r="S31" s="590">
        <f>R31+M31*0.1+IF(ISNONTEXT(B31),0,0.01)+0.0001*O31</f>
        <v>0</v>
      </c>
      <c r="T31" s="575" t="str">
        <f>Q31&amp;J31</f>
        <v>00</v>
      </c>
      <c r="U31" s="584"/>
      <c r="AD31" s="458">
        <f t="shared" si="7"/>
        <v>0</v>
      </c>
      <c r="AE31" s="459" t="str">
        <f>IFERROR(INDEX(Reit!$I:$I,MATCH(AF31,Reit!$F:$F,0)),"")</f>
        <v/>
      </c>
      <c r="AF31" s="460" t="str">
        <f t="shared" si="1"/>
        <v/>
      </c>
      <c r="AG31" s="459" t="str">
        <f>IFERROR(INDEX(Reit!$I:$I,MATCH(AH31,Reit!$F:$F,0)),"")</f>
        <v/>
      </c>
      <c r="AH31" s="460" t="str">
        <f t="shared" si="2"/>
        <v/>
      </c>
      <c r="AI31" s="459" t="str">
        <f>IFERROR(INDEX(Reit!$I:$I,MATCH(AJ31,Reit!$F:$F,0)),"")</f>
        <v/>
      </c>
      <c r="AJ31" s="460" t="str">
        <f t="shared" si="3"/>
        <v/>
      </c>
      <c r="AK31" s="459" t="str">
        <f>IFERROR(INDEX(Reit!$I:$I,MATCH(AL31,Reit!$F:$F,0)),"")</f>
        <v/>
      </c>
      <c r="AL31" s="460" t="str">
        <f t="shared" si="4"/>
        <v/>
      </c>
      <c r="AM31" s="459" t="str">
        <f>IFERROR(INDEX(Reit!$I:$I,MATCH(AN31,Reit!$F:$F,0)),"")</f>
        <v/>
      </c>
      <c r="AN31" s="460" t="str">
        <f t="shared" si="5"/>
        <v/>
      </c>
      <c r="AO31" s="459" t="str">
        <f>IFERROR(INDEX(Reit!$I:$I,MATCH(AP31,Reit!$F:$F,0)),"")</f>
        <v/>
      </c>
      <c r="AP31" s="460" t="str">
        <f t="shared" si="6"/>
        <v/>
      </c>
    </row>
    <row r="32" spans="1:42" hidden="1" x14ac:dyDescent="0.2">
      <c r="A32" s="550">
        <v>5</v>
      </c>
      <c r="B32" s="581"/>
      <c r="C32" s="564"/>
      <c r="D32" s="564"/>
      <c r="E32" s="564"/>
      <c r="F32" s="564"/>
      <c r="G32" s="562"/>
      <c r="H32" s="565" t="str">
        <f>(IF(C32-G28&gt;0,1)+IF(D32-G29&gt;0,1)+IF(E32-G30&gt;0,1)+IF(F32-G31&gt;0,1))&amp;"-"&amp;(IF(C32-G28&lt;0,1)+IF(D32-G29&lt;0,1)+IF(E32-G30&lt;0,1)+IF(F32-G31&lt;0,1))</f>
        <v>0-0</v>
      </c>
      <c r="I32" s="564" t="str">
        <f>IF(AND(B32&lt;&gt;"",R$27=TRUE),A$27&amp;RANK(S32,S$28:S$32,0)," ")</f>
        <v xml:space="preserve"> </v>
      </c>
      <c r="J32" s="577">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569">
        <f>SUM(AND(T32=T28,C32&gt;G28),AND(T32=T29,D32&gt;G29),AND(T32=T30,E32&gt;G30),AND(T32=T31,F32&gt;G31))</f>
        <v>0</v>
      </c>
      <c r="L32" s="578">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569">
        <f>SUM(AND(R32=R28,C32&gt;G28),AND(R32=R29,D32&gt;G29),AND(R32=R30,E32&gt;G30),AND(R32=R31,F32&gt;G31))</f>
        <v>0</v>
      </c>
      <c r="N32" s="570" t="str">
        <f>SUM(C32:G32)&amp;"-"&amp;SUM(G28:G32)</f>
        <v>0-0</v>
      </c>
      <c r="O32" s="571">
        <f>C32+D32+E32+F32-G28-G29-G30-G31</f>
        <v>0</v>
      </c>
      <c r="P32" s="572" t="e">
        <f>SUM(C32:G32,G28:G32)/SUM(G28:G32)</f>
        <v>#DIV/0!</v>
      </c>
      <c r="Q32" s="579">
        <f>VALUE(LEFT(H32,1))</f>
        <v>0</v>
      </c>
      <c r="R32" s="574">
        <f>Q32*100000+J32*10000+K32*1000+100*L32</f>
        <v>0</v>
      </c>
      <c r="S32" s="590">
        <f>R32+M32*0.1+IF(ISNONTEXT(B32),0,0.01)+0.0001*O32</f>
        <v>0</v>
      </c>
      <c r="T32" s="575" t="str">
        <f>Q32&amp;J32</f>
        <v>00</v>
      </c>
      <c r="U32" s="584"/>
      <c r="AD32" s="458">
        <f t="shared" si="7"/>
        <v>0</v>
      </c>
      <c r="AE32" s="459" t="str">
        <f>IFERROR(INDEX(Reit!$I:$I,MATCH(AF32,Reit!$F:$F,0)),"")</f>
        <v/>
      </c>
      <c r="AF32" s="460" t="str">
        <f t="shared" si="1"/>
        <v/>
      </c>
      <c r="AG32" s="459" t="str">
        <f>IFERROR(INDEX(Reit!$I:$I,MATCH(AH32,Reit!$F:$F,0)),"")</f>
        <v/>
      </c>
      <c r="AH32" s="460" t="str">
        <f t="shared" si="2"/>
        <v/>
      </c>
      <c r="AI32" s="459" t="str">
        <f>IFERROR(INDEX(Reit!$I:$I,MATCH(AJ32,Reit!$F:$F,0)),"")</f>
        <v/>
      </c>
      <c r="AJ32" s="460" t="str">
        <f t="shared" si="3"/>
        <v/>
      </c>
      <c r="AK32" s="459" t="str">
        <f>IFERROR(INDEX(Reit!$I:$I,MATCH(AL32,Reit!$F:$F,0)),"")</f>
        <v/>
      </c>
      <c r="AL32" s="460" t="str">
        <f t="shared" si="4"/>
        <v/>
      </c>
      <c r="AM32" s="459" t="str">
        <f>IFERROR(INDEX(Reit!$I:$I,MATCH(AN32,Reit!$F:$F,0)),"")</f>
        <v/>
      </c>
      <c r="AN32" s="460" t="str">
        <f t="shared" si="5"/>
        <v/>
      </c>
      <c r="AO32" s="459" t="str">
        <f>IFERROR(INDEX(Reit!$I:$I,MATCH(AP32,Reit!$F:$F,0)),"")</f>
        <v/>
      </c>
      <c r="AP32" s="460" t="str">
        <f t="shared" si="6"/>
        <v/>
      </c>
    </row>
    <row r="33" spans="1:42" hidden="1" x14ac:dyDescent="0.2">
      <c r="A33" s="592"/>
      <c r="B33" s="597"/>
      <c r="C33" s="597"/>
      <c r="D33" s="597"/>
      <c r="E33" s="597"/>
      <c r="F33" s="594"/>
      <c r="G33" s="597"/>
      <c r="H33" s="619"/>
      <c r="I33" s="620"/>
      <c r="J33" s="584"/>
      <c r="K33" s="584"/>
      <c r="L33" s="584"/>
      <c r="M33" s="584"/>
      <c r="N33" s="584"/>
      <c r="O33" s="584"/>
      <c r="P33" s="584"/>
      <c r="Q33" s="584"/>
      <c r="R33" s="588" t="s">
        <v>311</v>
      </c>
      <c r="S33" s="584"/>
      <c r="T33" s="584"/>
      <c r="U33" s="584"/>
      <c r="AD33" s="458">
        <f t="shared" si="7"/>
        <v>0</v>
      </c>
      <c r="AE33" s="459" t="str">
        <f>IFERROR(INDEX(Reit!$I:$I,MATCH(AF33,Reit!$F:$F,0)),"")</f>
        <v/>
      </c>
      <c r="AF33" s="460" t="str">
        <f t="shared" si="1"/>
        <v/>
      </c>
      <c r="AG33" s="459" t="str">
        <f>IFERROR(INDEX(Reit!$I:$I,MATCH(AH33,Reit!$F:$F,0)),"")</f>
        <v/>
      </c>
      <c r="AH33" s="460" t="str">
        <f t="shared" si="2"/>
        <v/>
      </c>
      <c r="AI33" s="459" t="str">
        <f>IFERROR(INDEX(Reit!$I:$I,MATCH(AJ33,Reit!$F:$F,0)),"")</f>
        <v/>
      </c>
      <c r="AJ33" s="460" t="str">
        <f t="shared" si="3"/>
        <v/>
      </c>
      <c r="AK33" s="459" t="str">
        <f>IFERROR(INDEX(Reit!$I:$I,MATCH(AL33,Reit!$F:$F,0)),"")</f>
        <v/>
      </c>
      <c r="AL33" s="460" t="str">
        <f t="shared" si="4"/>
        <v/>
      </c>
      <c r="AM33" s="459" t="str">
        <f>IFERROR(INDEX(Reit!$I:$I,MATCH(AN33,Reit!$F:$F,0)),"")</f>
        <v/>
      </c>
      <c r="AN33" s="460" t="str">
        <f t="shared" si="5"/>
        <v/>
      </c>
      <c r="AO33" s="459" t="str">
        <f>IFERROR(INDEX(Reit!$I:$I,MATCH(AP33,Reit!$F:$F,0)),"")</f>
        <v/>
      </c>
      <c r="AP33" s="460" t="str">
        <f t="shared" si="6"/>
        <v/>
      </c>
    </row>
    <row r="34" spans="1:42" hidden="1" x14ac:dyDescent="0.2">
      <c r="P34" s="589" t="s">
        <v>294</v>
      </c>
      <c r="Q34" s="558" t="s">
        <v>183</v>
      </c>
      <c r="R34" s="558" t="b">
        <f>OR(AND(COUNTA(B35:B39)=3,COUNTA(C35:G39)=6),AND(COUNTA(B35:B39)=4,COUNTA(C35:G39)=12),AND(COUNTA(B35:B39)=5,COUNTA(C35:G39)=20))</f>
        <v>0</v>
      </c>
      <c r="S34" s="559" t="s">
        <v>295</v>
      </c>
      <c r="T34" s="560" t="s">
        <v>296</v>
      </c>
      <c r="U34" s="584"/>
    </row>
    <row r="35" spans="1:42" hidden="1" x14ac:dyDescent="0.2">
      <c r="P35" s="572" t="e">
        <f>SUM(C35:G35,C35:C39)/SUM(C35:C39)</f>
        <v>#DIV/0!</v>
      </c>
      <c r="Q35" s="573" t="e">
        <f>VALUE(LEFT(H35,1))</f>
        <v>#VALUE!</v>
      </c>
      <c r="R35" s="574" t="e">
        <f>Q35*100000+J35*10000+K35*1000+100*L35</f>
        <v>#VALUE!</v>
      </c>
      <c r="S35" s="590" t="e">
        <f>R35+M35*0.1+IF(ISNONTEXT(B35),0,0.01)+0.0001*O35</f>
        <v>#VALUE!</v>
      </c>
      <c r="T35" s="575" t="e">
        <f>Q35&amp;J35</f>
        <v>#VALUE!</v>
      </c>
      <c r="U35" s="584"/>
    </row>
    <row r="36" spans="1:42" hidden="1" x14ac:dyDescent="0.2">
      <c r="P36" s="572" t="e">
        <f>SUM(C36:G36,D35:D39)/SUM(D35:D39)</f>
        <v>#DIV/0!</v>
      </c>
      <c r="Q36" s="579" t="e">
        <f>VALUE(LEFT(H36,1))</f>
        <v>#VALUE!</v>
      </c>
      <c r="R36" s="574" t="e">
        <f>Q36*100000+J36*10000+K36*1000+100*L36</f>
        <v>#VALUE!</v>
      </c>
      <c r="S36" s="590" t="e">
        <f>R36+M36*0.1+IF(ISNONTEXT(B36),0,0.01)+0.0001*O36</f>
        <v>#VALUE!</v>
      </c>
      <c r="T36" s="575" t="e">
        <f>Q36&amp;J36</f>
        <v>#VALUE!</v>
      </c>
      <c r="U36" s="584"/>
    </row>
    <row r="37" spans="1:42" hidden="1" x14ac:dyDescent="0.2">
      <c r="P37" s="572" t="e">
        <f>SUM(C37:G37,E35:E39)/SUM(E35:E39)</f>
        <v>#DIV/0!</v>
      </c>
      <c r="Q37" s="579" t="e">
        <f>VALUE(LEFT(H37,1))</f>
        <v>#VALUE!</v>
      </c>
      <c r="R37" s="574" t="e">
        <f>Q37*100000+J37*10000+K37*1000+100*L37</f>
        <v>#VALUE!</v>
      </c>
      <c r="S37" s="590" t="e">
        <f>R37+M37*0.1+IF(ISNONTEXT(B37),0,0.01)+0.0001*O37</f>
        <v>#VALUE!</v>
      </c>
      <c r="T37" s="575" t="e">
        <f>Q37&amp;J37</f>
        <v>#VALUE!</v>
      </c>
      <c r="U37" s="584"/>
    </row>
    <row r="38" spans="1:42" hidden="1" x14ac:dyDescent="0.2">
      <c r="P38" s="572" t="e">
        <f>SUM(C38:G38,F35:F39)/SUM(F35:F39)</f>
        <v>#DIV/0!</v>
      </c>
      <c r="Q38" s="579" t="e">
        <f>VALUE(LEFT(H38,1))</f>
        <v>#VALUE!</v>
      </c>
      <c r="R38" s="574" t="e">
        <f>Q38*100000+J38*10000+K38*1000+100*L38</f>
        <v>#VALUE!</v>
      </c>
      <c r="S38" s="590" t="e">
        <f>R38+M38*0.1+IF(ISNONTEXT(B38),0,0.01)+0.0001*O38</f>
        <v>#VALUE!</v>
      </c>
      <c r="T38" s="575" t="e">
        <f>Q38&amp;J38</f>
        <v>#VALUE!</v>
      </c>
      <c r="U38" s="584"/>
    </row>
    <row r="39" spans="1:42" hidden="1" x14ac:dyDescent="0.2">
      <c r="P39" s="572" t="e">
        <f>SUM(C39:G39,G35:G39)/SUM(G35:G39)</f>
        <v>#DIV/0!</v>
      </c>
      <c r="Q39" s="579" t="e">
        <f>VALUE(LEFT(H39,1))</f>
        <v>#VALUE!</v>
      </c>
      <c r="R39" s="574" t="e">
        <f>Q39*100000+J39*10000+K39*1000+100*L39</f>
        <v>#VALUE!</v>
      </c>
      <c r="S39" s="590" t="e">
        <f>R39+M39*0.1+IF(ISNONTEXT(B39),0,0.01)+0.0001*O39</f>
        <v>#VALUE!</v>
      </c>
      <c r="T39" s="575" t="e">
        <f>Q39&amp;J39</f>
        <v>#VALUE!</v>
      </c>
      <c r="U39" s="584"/>
    </row>
    <row r="40" spans="1:42" hidden="1" x14ac:dyDescent="0.2">
      <c r="P40" s="584"/>
      <c r="Q40" s="584"/>
      <c r="R40" s="588" t="s">
        <v>311</v>
      </c>
      <c r="S40" s="584"/>
      <c r="T40" s="584"/>
      <c r="U40" s="584"/>
    </row>
    <row r="41" spans="1:42" hidden="1" x14ac:dyDescent="0.2">
      <c r="P41" s="589" t="s">
        <v>294</v>
      </c>
      <c r="Q41" s="558" t="s">
        <v>183</v>
      </c>
      <c r="R41" s="558" t="b">
        <f>OR(AND(COUNTA(B42:B46)=3,COUNTA(C42:G46)=6),AND(COUNTA(B42:B46)=4,COUNTA(C42:G46)=12),AND(COUNTA(B42:B46)=5,COUNTA(C42:G46)=20))</f>
        <v>0</v>
      </c>
      <c r="S41" s="559" t="s">
        <v>295</v>
      </c>
      <c r="T41" s="560" t="s">
        <v>296</v>
      </c>
      <c r="U41" s="584"/>
    </row>
    <row r="42" spans="1:42" hidden="1" x14ac:dyDescent="0.2">
      <c r="P42" s="572" t="e">
        <f>SUM(C42:G42,C42:C46)/SUM(C42:C46)</f>
        <v>#DIV/0!</v>
      </c>
      <c r="Q42" s="573" t="e">
        <f>VALUE(LEFT(H42,1))</f>
        <v>#VALUE!</v>
      </c>
      <c r="R42" s="574" t="e">
        <f>Q42*100000+J42*10000+K42*1000+100*L42</f>
        <v>#VALUE!</v>
      </c>
      <c r="S42" s="590" t="e">
        <f>R42+M42*0.1+IF(ISNONTEXT(B42),0,0.01)+0.0001*O42</f>
        <v>#VALUE!</v>
      </c>
      <c r="T42" s="575" t="e">
        <f>Q42&amp;J42</f>
        <v>#VALUE!</v>
      </c>
      <c r="U42" s="584"/>
    </row>
    <row r="43" spans="1:42" hidden="1" x14ac:dyDescent="0.2">
      <c r="P43" s="572" t="e">
        <f>SUM(C43:G43,D42:D46)/SUM(D42:D46)</f>
        <v>#DIV/0!</v>
      </c>
      <c r="Q43" s="579" t="e">
        <f>VALUE(LEFT(H43,1))</f>
        <v>#VALUE!</v>
      </c>
      <c r="R43" s="574" t="e">
        <f>Q43*100000+J43*10000+K43*1000+100*L43</f>
        <v>#VALUE!</v>
      </c>
      <c r="S43" s="590" t="e">
        <f>R43+M43*0.1+IF(ISNONTEXT(B43),0,0.01)+0.0001*O43</f>
        <v>#VALUE!</v>
      </c>
      <c r="T43" s="575" t="e">
        <f>Q43&amp;J43</f>
        <v>#VALUE!</v>
      </c>
      <c r="U43" s="584"/>
    </row>
    <row r="44" spans="1:42" hidden="1" x14ac:dyDescent="0.2">
      <c r="P44" s="572" t="e">
        <f>SUM(C44:G44,E42:E46)/SUM(E42:E46)</f>
        <v>#DIV/0!</v>
      </c>
      <c r="Q44" s="579" t="e">
        <f>VALUE(LEFT(H44,1))</f>
        <v>#VALUE!</v>
      </c>
      <c r="R44" s="574" t="e">
        <f>Q44*100000+J44*10000+K44*1000+100*L44</f>
        <v>#VALUE!</v>
      </c>
      <c r="S44" s="590" t="e">
        <f>R44+M44*0.1+IF(ISNONTEXT(B44),0,0.01)+0.0001*O44</f>
        <v>#VALUE!</v>
      </c>
      <c r="T44" s="575" t="e">
        <f>Q44&amp;J44</f>
        <v>#VALUE!</v>
      </c>
      <c r="U44" s="584"/>
    </row>
    <row r="45" spans="1:42" hidden="1" x14ac:dyDescent="0.2">
      <c r="P45" s="572" t="e">
        <f>SUM(C45:G45,F42:F46)/SUM(F42:F46)</f>
        <v>#DIV/0!</v>
      </c>
      <c r="Q45" s="579" t="e">
        <f>VALUE(LEFT(H45,1))</f>
        <v>#VALUE!</v>
      </c>
      <c r="R45" s="574" t="e">
        <f>Q45*100000+J45*10000+K45*1000+100*L45</f>
        <v>#VALUE!</v>
      </c>
      <c r="S45" s="590" t="e">
        <f>R45+M45*0.1+IF(ISNONTEXT(B45),0,0.01)+0.0001*O45</f>
        <v>#VALUE!</v>
      </c>
      <c r="T45" s="575" t="e">
        <f>Q45&amp;J45</f>
        <v>#VALUE!</v>
      </c>
      <c r="U45" s="584"/>
    </row>
    <row r="46" spans="1:42" hidden="1" x14ac:dyDescent="0.2">
      <c r="P46" s="572" t="e">
        <f>SUM(C46:G46,G42:G46)/SUM(G42:G46)</f>
        <v>#DIV/0!</v>
      </c>
      <c r="Q46" s="579" t="e">
        <f>VALUE(LEFT(H46,1))</f>
        <v>#VALUE!</v>
      </c>
      <c r="R46" s="574" t="e">
        <f>Q46*100000+J46*10000+K46*1000+100*L46</f>
        <v>#VALUE!</v>
      </c>
      <c r="S46" s="590" t="e">
        <f>R46+M46*0.1+IF(ISNONTEXT(B46),0,0.01)+0.0001*O46</f>
        <v>#VALUE!</v>
      </c>
      <c r="T46" s="575" t="e">
        <f>Q46&amp;J46</f>
        <v>#VALUE!</v>
      </c>
      <c r="U46" s="584"/>
    </row>
    <row r="47" spans="1:42" hidden="1" x14ac:dyDescent="0.2">
      <c r="P47" s="584"/>
      <c r="Q47" s="584"/>
      <c r="R47" s="588" t="s">
        <v>311</v>
      </c>
      <c r="S47" s="584"/>
      <c r="T47" s="584"/>
      <c r="U47" s="584"/>
    </row>
    <row r="48" spans="1:42" hidden="1" x14ac:dyDescent="0.2">
      <c r="P48" s="589" t="s">
        <v>294</v>
      </c>
      <c r="Q48" s="558" t="s">
        <v>183</v>
      </c>
      <c r="R48" s="558" t="b">
        <f>OR(AND(COUNTA(B49:B53)=3,COUNTA(C49:G53)=6),AND(COUNTA(B49:B53)=4,COUNTA(C49:G53)=12),AND(COUNTA(B49:B53)=5,COUNTA(C49:G53)=20))</f>
        <v>0</v>
      </c>
      <c r="S48" s="559" t="s">
        <v>295</v>
      </c>
      <c r="T48" s="560" t="s">
        <v>296</v>
      </c>
      <c r="U48" s="584"/>
    </row>
    <row r="49" spans="1:21" hidden="1" x14ac:dyDescent="0.2">
      <c r="P49" s="572" t="e">
        <f>SUM(C49:G49,C49:C53)/SUM(C49:C53)</f>
        <v>#DIV/0!</v>
      </c>
      <c r="Q49" s="573" t="e">
        <f>VALUE(LEFT(H49,1))</f>
        <v>#VALUE!</v>
      </c>
      <c r="R49" s="574" t="e">
        <f>Q49*100000+J49*10000+K49*1000+100*L49</f>
        <v>#VALUE!</v>
      </c>
      <c r="S49" s="590" t="e">
        <f>R49+M49*0.1+IF(ISNONTEXT(B49),0,0.01)+0.0001*O49</f>
        <v>#VALUE!</v>
      </c>
      <c r="T49" s="575" t="e">
        <f>Q49&amp;J49</f>
        <v>#VALUE!</v>
      </c>
      <c r="U49" s="584"/>
    </row>
    <row r="50" spans="1:21" hidden="1" x14ac:dyDescent="0.2">
      <c r="P50" s="572" t="e">
        <f>SUM(C50:G50,D49:D53)/SUM(D49:D53)</f>
        <v>#DIV/0!</v>
      </c>
      <c r="Q50" s="579" t="e">
        <f>VALUE(LEFT(H50,1))</f>
        <v>#VALUE!</v>
      </c>
      <c r="R50" s="574" t="e">
        <f>Q50*100000+J50*10000+K50*1000+100*L50</f>
        <v>#VALUE!</v>
      </c>
      <c r="S50" s="590" t="e">
        <f>R50+M50*0.1+IF(ISNONTEXT(B50),0,0.01)+0.0001*O50</f>
        <v>#VALUE!</v>
      </c>
      <c r="T50" s="575" t="e">
        <f>Q50&amp;J50</f>
        <v>#VALUE!</v>
      </c>
      <c r="U50" s="584"/>
    </row>
    <row r="51" spans="1:21" hidden="1" x14ac:dyDescent="0.2">
      <c r="P51" s="572" t="e">
        <f>SUM(C51:G51,E49:E53)/SUM(E49:E53)</f>
        <v>#DIV/0!</v>
      </c>
      <c r="Q51" s="579" t="e">
        <f>VALUE(LEFT(H51,1))</f>
        <v>#VALUE!</v>
      </c>
      <c r="R51" s="574" t="e">
        <f>Q51*100000+J51*10000+K51*1000+100*L51</f>
        <v>#VALUE!</v>
      </c>
      <c r="S51" s="590" t="e">
        <f>R51+M51*0.1+IF(ISNONTEXT(B51),0,0.01)+0.0001*O51</f>
        <v>#VALUE!</v>
      </c>
      <c r="T51" s="575" t="e">
        <f>Q51&amp;J51</f>
        <v>#VALUE!</v>
      </c>
      <c r="U51" s="584"/>
    </row>
    <row r="52" spans="1:21" hidden="1" x14ac:dyDescent="0.2">
      <c r="P52" s="572" t="e">
        <f>SUM(C52:G52,F49:F53)/SUM(F49:F53)</f>
        <v>#DIV/0!</v>
      </c>
      <c r="Q52" s="579" t="e">
        <f>VALUE(LEFT(H52,1))</f>
        <v>#VALUE!</v>
      </c>
      <c r="R52" s="574" t="e">
        <f>Q52*100000+J52*10000+K52*1000+100*L52</f>
        <v>#VALUE!</v>
      </c>
      <c r="S52" s="590" t="e">
        <f>R52+M52*0.1+IF(ISNONTEXT(B52),0,0.01)+0.0001*O52</f>
        <v>#VALUE!</v>
      </c>
      <c r="T52" s="575" t="e">
        <f>Q52&amp;J52</f>
        <v>#VALUE!</v>
      </c>
      <c r="U52" s="584"/>
    </row>
    <row r="53" spans="1:21" hidden="1" x14ac:dyDescent="0.2">
      <c r="P53" s="572" t="e">
        <f>SUM(C53:G53,G49:G53)/SUM(G49:G53)</f>
        <v>#DIV/0!</v>
      </c>
      <c r="Q53" s="579" t="e">
        <f>VALUE(LEFT(H53,1))</f>
        <v>#VALUE!</v>
      </c>
      <c r="R53" s="574" t="e">
        <f>Q53*100000+J53*10000+K53*1000+100*L53</f>
        <v>#VALUE!</v>
      </c>
      <c r="S53" s="590" t="e">
        <f>R53+M53*0.1+IF(ISNONTEXT(B53),0,0.01)+0.0001*O53</f>
        <v>#VALUE!</v>
      </c>
      <c r="T53" s="575" t="e">
        <f>Q53&amp;J53</f>
        <v>#VALUE!</v>
      </c>
      <c r="U53" s="584"/>
    </row>
    <row r="54" spans="1:21" hidden="1" x14ac:dyDescent="0.2">
      <c r="P54" s="584"/>
      <c r="Q54" s="584"/>
      <c r="R54" s="588" t="s">
        <v>311</v>
      </c>
      <c r="S54" s="584"/>
      <c r="T54" s="584"/>
      <c r="U54" s="584"/>
    </row>
    <row r="55" spans="1:21" hidden="1" x14ac:dyDescent="0.2">
      <c r="P55" s="589" t="s">
        <v>294</v>
      </c>
      <c r="Q55" s="558" t="s">
        <v>183</v>
      </c>
      <c r="R55" s="558" t="b">
        <f>OR(AND(COUNTA(B56:B60)=3,COUNTA(C56:G60)=6),AND(COUNTA(B56:B60)=4,COUNTA(C56:G60)=12),AND(COUNTA(B56:B60)=5,COUNTA(C56:G60)=20))</f>
        <v>0</v>
      </c>
      <c r="S55" s="559" t="s">
        <v>295</v>
      </c>
      <c r="T55" s="560" t="s">
        <v>296</v>
      </c>
      <c r="U55" s="584"/>
    </row>
    <row r="56" spans="1:21" hidden="1" x14ac:dyDescent="0.2">
      <c r="P56" s="572" t="e">
        <f>SUM(C56:G56,C56:C60)/SUM(C56:C60)</f>
        <v>#DIV/0!</v>
      </c>
      <c r="Q56" s="573" t="e">
        <f>VALUE(LEFT(H56,1))</f>
        <v>#VALUE!</v>
      </c>
      <c r="R56" s="574" t="e">
        <f>Q56*100000+J56*10000+K56*1000+100*L56</f>
        <v>#VALUE!</v>
      </c>
      <c r="S56" s="590" t="e">
        <f>R56+M56*0.1+IF(ISNONTEXT(B56),0,0.01)+0.0001*O56</f>
        <v>#VALUE!</v>
      </c>
      <c r="T56" s="575" t="e">
        <f>Q56&amp;J56</f>
        <v>#VALUE!</v>
      </c>
      <c r="U56" s="584"/>
    </row>
    <row r="57" spans="1:21" hidden="1" x14ac:dyDescent="0.2">
      <c r="P57" s="572" t="e">
        <f>SUM(C57:G57,D56:D60)/SUM(D56:D60)</f>
        <v>#DIV/0!</v>
      </c>
      <c r="Q57" s="579" t="e">
        <f>VALUE(LEFT(H57,1))</f>
        <v>#VALUE!</v>
      </c>
      <c r="R57" s="574" t="e">
        <f>Q57*100000+J57*10000+K57*1000+100*L57</f>
        <v>#VALUE!</v>
      </c>
      <c r="S57" s="590" t="e">
        <f>R57+M57*0.1+IF(ISNONTEXT(B57),0,0.01)+0.0001*O57</f>
        <v>#VALUE!</v>
      </c>
      <c r="T57" s="575" t="e">
        <f>Q57&amp;J57</f>
        <v>#VALUE!</v>
      </c>
      <c r="U57" s="584"/>
    </row>
    <row r="58" spans="1:21" hidden="1" x14ac:dyDescent="0.2">
      <c r="P58" s="572" t="e">
        <f>SUM(C58:G58,E56:E60)/SUM(E56:E60)</f>
        <v>#DIV/0!</v>
      </c>
      <c r="Q58" s="579" t="e">
        <f>VALUE(LEFT(H58,1))</f>
        <v>#VALUE!</v>
      </c>
      <c r="R58" s="574" t="e">
        <f>Q58*100000+J58*10000+K58*1000+100*L58</f>
        <v>#VALUE!</v>
      </c>
      <c r="S58" s="590" t="e">
        <f>R58+M58*0.1+IF(ISNONTEXT(B58),0,0.01)+0.0001*O58</f>
        <v>#VALUE!</v>
      </c>
      <c r="T58" s="575" t="e">
        <f>Q58&amp;J58</f>
        <v>#VALUE!</v>
      </c>
      <c r="U58" s="584"/>
    </row>
    <row r="59" spans="1:21" hidden="1" x14ac:dyDescent="0.2">
      <c r="P59" s="572" t="e">
        <f>SUM(C59:G59,F56:F60)/SUM(F56:F60)</f>
        <v>#DIV/0!</v>
      </c>
      <c r="Q59" s="579" t="e">
        <f>VALUE(LEFT(H59,1))</f>
        <v>#VALUE!</v>
      </c>
      <c r="R59" s="574" t="e">
        <f>Q59*100000+J59*10000+K59*1000+100*L59</f>
        <v>#VALUE!</v>
      </c>
      <c r="S59" s="590" t="e">
        <f>R59+M59*0.1+IF(ISNONTEXT(B59),0,0.01)+0.0001*O59</f>
        <v>#VALUE!</v>
      </c>
      <c r="T59" s="575" t="e">
        <f>Q59&amp;J59</f>
        <v>#VALUE!</v>
      </c>
      <c r="U59" s="584"/>
    </row>
    <row r="60" spans="1:21" hidden="1" x14ac:dyDescent="0.2">
      <c r="P60" s="572" t="e">
        <f>SUM(C60:G60,G56:G60)/SUM(G56:G60)</f>
        <v>#DIV/0!</v>
      </c>
      <c r="Q60" s="579" t="e">
        <f>VALUE(LEFT(H60,1))</f>
        <v>#VALUE!</v>
      </c>
      <c r="R60" s="574" t="e">
        <f>Q60*100000+J60*10000+K60*1000+100*L60</f>
        <v>#VALUE!</v>
      </c>
      <c r="S60" s="590" t="e">
        <f>R60+M60*0.1+IF(ISNONTEXT(B60),0,0.01)+0.0001*O60</f>
        <v>#VALUE!</v>
      </c>
      <c r="T60" s="575" t="e">
        <f>Q60&amp;J60</f>
        <v>#VALUE!</v>
      </c>
      <c r="U60" s="584"/>
    </row>
    <row r="61" spans="1:21" hidden="1" x14ac:dyDescent="0.2">
      <c r="A61" s="597"/>
      <c r="B61" s="597"/>
      <c r="C61" s="597"/>
      <c r="D61" s="597"/>
      <c r="E61" s="597"/>
      <c r="F61" s="597"/>
      <c r="G61" s="597"/>
      <c r="H61" s="597"/>
      <c r="I61" s="597"/>
      <c r="J61" s="597"/>
      <c r="K61" s="584"/>
      <c r="L61" s="597"/>
      <c r="M61" s="584"/>
      <c r="N61" s="597"/>
      <c r="O61" s="587"/>
      <c r="P61" s="584"/>
      <c r="Q61" s="584"/>
      <c r="R61" s="584"/>
      <c r="S61" s="584"/>
      <c r="T61" s="584"/>
      <c r="U61" s="584"/>
    </row>
    <row r="62" spans="1:21" hidden="1" x14ac:dyDescent="0.2">
      <c r="A62" s="597"/>
      <c r="B62" s="599" t="s">
        <v>238</v>
      </c>
      <c r="C62" s="600" t="s">
        <v>303</v>
      </c>
      <c r="D62" s="601"/>
      <c r="E62" s="597"/>
      <c r="F62" s="584"/>
      <c r="G62" s="597"/>
      <c r="H62" s="597"/>
      <c r="I62" s="597"/>
      <c r="J62" s="597"/>
      <c r="K62" s="584"/>
      <c r="L62" s="597"/>
      <c r="M62" s="584"/>
      <c r="N62" s="597"/>
      <c r="O62" s="587"/>
      <c r="P62" s="584"/>
      <c r="Q62" s="584"/>
      <c r="R62" s="584"/>
      <c r="S62" s="584"/>
      <c r="T62" s="584"/>
      <c r="U62" s="584"/>
    </row>
    <row r="63" spans="1:21" hidden="1" x14ac:dyDescent="0.2">
      <c r="A63" s="597"/>
      <c r="B63" s="599" t="s">
        <v>239</v>
      </c>
      <c r="C63" s="600" t="s">
        <v>305</v>
      </c>
      <c r="D63" s="597"/>
      <c r="E63" s="597"/>
      <c r="F63" s="584"/>
      <c r="G63" s="597"/>
      <c r="H63" s="597"/>
      <c r="I63" s="597"/>
      <c r="J63" s="597"/>
      <c r="K63" s="584"/>
      <c r="L63" s="597"/>
      <c r="M63" s="584"/>
      <c r="N63" s="597"/>
      <c r="O63" s="587"/>
      <c r="P63" s="584"/>
      <c r="Q63" s="584"/>
      <c r="R63" s="584"/>
      <c r="S63" s="584"/>
      <c r="T63" s="584"/>
      <c r="U63" s="584"/>
    </row>
    <row r="64" spans="1:21" hidden="1" x14ac:dyDescent="0.2">
      <c r="A64" s="597"/>
      <c r="B64" s="599" t="s">
        <v>240</v>
      </c>
      <c r="C64" s="600" t="s">
        <v>302</v>
      </c>
      <c r="D64" s="597"/>
      <c r="E64" s="597"/>
      <c r="F64" s="584"/>
      <c r="G64" s="597"/>
      <c r="H64" s="597"/>
      <c r="I64" s="597"/>
      <c r="J64" s="597"/>
      <c r="K64" s="584"/>
      <c r="L64" s="597"/>
      <c r="M64" s="584"/>
      <c r="N64" s="597"/>
      <c r="O64" s="587"/>
      <c r="P64" s="584"/>
      <c r="Q64" s="584"/>
      <c r="R64" s="584"/>
      <c r="S64" s="584"/>
      <c r="T64" s="584"/>
      <c r="U64" s="584"/>
    </row>
    <row r="65" spans="1:21" hidden="1" x14ac:dyDescent="0.2">
      <c r="A65" s="597"/>
      <c r="B65" s="597"/>
      <c r="C65" s="597"/>
      <c r="D65" s="597"/>
      <c r="E65" s="597"/>
      <c r="F65" s="597"/>
      <c r="G65" s="597"/>
      <c r="H65" s="597"/>
      <c r="I65" s="597"/>
      <c r="J65" s="597"/>
      <c r="K65" s="584"/>
      <c r="L65" s="597"/>
      <c r="M65" s="584"/>
      <c r="N65" s="597"/>
      <c r="O65" s="587"/>
      <c r="P65" s="584"/>
      <c r="Q65" s="584"/>
      <c r="R65" s="584"/>
      <c r="S65" s="584"/>
      <c r="T65" s="584"/>
      <c r="U65" s="584"/>
    </row>
    <row r="66" spans="1:21" hidden="1" x14ac:dyDescent="0.2">
      <c r="A66" s="597"/>
      <c r="B66" s="599" t="s">
        <v>238</v>
      </c>
      <c r="C66" s="600" t="s">
        <v>301</v>
      </c>
      <c r="D66" s="600" t="s">
        <v>302</v>
      </c>
      <c r="E66" s="597"/>
      <c r="F66" s="597"/>
      <c r="G66" s="597"/>
      <c r="H66" s="597"/>
      <c r="I66" s="597"/>
      <c r="J66" s="597"/>
      <c r="K66" s="584"/>
      <c r="L66" s="597"/>
      <c r="M66" s="584"/>
      <c r="N66" s="597"/>
      <c r="O66" s="587"/>
      <c r="P66" s="584"/>
      <c r="Q66" s="584"/>
      <c r="R66" s="584"/>
      <c r="S66" s="584"/>
      <c r="T66" s="584"/>
      <c r="U66" s="584"/>
    </row>
    <row r="67" spans="1:21" hidden="1" x14ac:dyDescent="0.2">
      <c r="A67" s="597"/>
      <c r="B67" s="599" t="s">
        <v>239</v>
      </c>
      <c r="C67" s="600" t="s">
        <v>303</v>
      </c>
      <c r="D67" s="600" t="s">
        <v>300</v>
      </c>
      <c r="E67" s="597"/>
      <c r="F67" s="597"/>
      <c r="G67" s="597"/>
      <c r="H67" s="597"/>
      <c r="I67" s="597"/>
      <c r="J67" s="597"/>
      <c r="K67" s="584"/>
      <c r="L67" s="597"/>
      <c r="M67" s="584"/>
      <c r="N67" s="597"/>
      <c r="O67" s="587"/>
      <c r="P67" s="584"/>
      <c r="Q67" s="584"/>
      <c r="R67" s="584"/>
      <c r="S67" s="584"/>
      <c r="T67" s="584"/>
      <c r="U67" s="584"/>
    </row>
    <row r="68" spans="1:21" hidden="1" x14ac:dyDescent="0.2">
      <c r="A68" s="597"/>
      <c r="B68" s="599" t="s">
        <v>240</v>
      </c>
      <c r="C68" s="600" t="s">
        <v>305</v>
      </c>
      <c r="D68" s="600" t="s">
        <v>298</v>
      </c>
      <c r="E68" s="597"/>
      <c r="F68" s="597"/>
      <c r="G68" s="597"/>
      <c r="H68" s="597"/>
      <c r="I68" s="597"/>
      <c r="J68" s="597"/>
      <c r="K68" s="584"/>
      <c r="L68" s="597"/>
      <c r="M68" s="584"/>
      <c r="N68" s="597"/>
      <c r="O68" s="587"/>
      <c r="P68" s="584"/>
      <c r="Q68" s="584"/>
      <c r="R68" s="584"/>
      <c r="S68" s="584"/>
      <c r="T68" s="584"/>
      <c r="U68" s="584"/>
    </row>
    <row r="69" spans="1:21" hidden="1" x14ac:dyDescent="0.2">
      <c r="A69" s="597"/>
      <c r="B69" s="602"/>
      <c r="C69" s="596"/>
      <c r="D69" s="596"/>
      <c r="E69" s="597"/>
      <c r="F69" s="597"/>
      <c r="G69" s="597"/>
      <c r="H69" s="597"/>
      <c r="I69" s="597"/>
      <c r="J69" s="597"/>
      <c r="K69" s="584"/>
      <c r="L69" s="597"/>
      <c r="M69" s="584"/>
      <c r="N69" s="597"/>
      <c r="O69" s="587"/>
      <c r="P69" s="584"/>
      <c r="Q69" s="584"/>
      <c r="R69" s="584"/>
      <c r="S69" s="584"/>
      <c r="T69" s="584"/>
      <c r="U69" s="584"/>
    </row>
    <row r="70" spans="1:21" hidden="1" x14ac:dyDescent="0.2">
      <c r="A70" s="597"/>
      <c r="B70" s="599" t="s">
        <v>238</v>
      </c>
      <c r="C70" s="600" t="s">
        <v>299</v>
      </c>
      <c r="D70" s="600" t="s">
        <v>300</v>
      </c>
      <c r="E70" s="597"/>
      <c r="F70" s="584"/>
      <c r="G70" s="584"/>
      <c r="H70" s="597"/>
      <c r="I70" s="597"/>
      <c r="J70" s="597"/>
      <c r="K70" s="584"/>
      <c r="L70" s="597"/>
      <c r="M70" s="584"/>
      <c r="N70" s="597"/>
      <c r="O70" s="587"/>
      <c r="P70" s="584"/>
      <c r="Q70" s="584"/>
      <c r="R70" s="584"/>
      <c r="S70" s="584"/>
      <c r="T70" s="584"/>
      <c r="U70" s="584"/>
    </row>
    <row r="71" spans="1:21" hidden="1" x14ac:dyDescent="0.2">
      <c r="A71" s="597"/>
      <c r="B71" s="599" t="s">
        <v>239</v>
      </c>
      <c r="C71" s="600" t="s">
        <v>301</v>
      </c>
      <c r="D71" s="600" t="s">
        <v>302</v>
      </c>
      <c r="E71" s="597"/>
      <c r="F71" s="584"/>
      <c r="G71" s="584"/>
      <c r="H71" s="584"/>
      <c r="I71" s="597"/>
      <c r="J71" s="597"/>
      <c r="K71" s="584"/>
      <c r="L71" s="597"/>
      <c r="M71" s="584"/>
      <c r="N71" s="597"/>
      <c r="O71" s="587"/>
      <c r="P71" s="584"/>
      <c r="Q71" s="584"/>
      <c r="R71" s="584"/>
      <c r="S71" s="584"/>
      <c r="T71" s="584"/>
      <c r="U71" s="584"/>
    </row>
    <row r="72" spans="1:21" hidden="1" x14ac:dyDescent="0.2">
      <c r="A72" s="597"/>
      <c r="B72" s="599" t="s">
        <v>240</v>
      </c>
      <c r="C72" s="600" t="s">
        <v>303</v>
      </c>
      <c r="D72" s="600" t="s">
        <v>304</v>
      </c>
      <c r="E72" s="597"/>
      <c r="F72" s="584"/>
      <c r="G72" s="584"/>
      <c r="H72" s="597"/>
      <c r="I72" s="597"/>
      <c r="J72" s="597"/>
      <c r="K72" s="584"/>
      <c r="L72" s="597"/>
      <c r="M72" s="584"/>
      <c r="N72" s="597"/>
      <c r="O72" s="587"/>
      <c r="P72" s="584"/>
      <c r="Q72" s="584"/>
      <c r="R72" s="584"/>
      <c r="S72" s="584"/>
      <c r="T72" s="584"/>
      <c r="U72" s="584"/>
    </row>
    <row r="73" spans="1:21" hidden="1" x14ac:dyDescent="0.2">
      <c r="A73" s="597"/>
      <c r="B73" s="599" t="s">
        <v>241</v>
      </c>
      <c r="C73" s="583" t="s">
        <v>305</v>
      </c>
      <c r="D73" s="600" t="s">
        <v>306</v>
      </c>
      <c r="E73" s="597"/>
      <c r="F73" s="584"/>
      <c r="G73" s="584"/>
      <c r="H73" s="597"/>
      <c r="I73" s="597"/>
      <c r="J73" s="597"/>
      <c r="K73" s="584"/>
      <c r="L73" s="597"/>
      <c r="M73" s="584"/>
      <c r="N73" s="597"/>
      <c r="O73" s="587"/>
      <c r="P73" s="584"/>
      <c r="Q73" s="584"/>
      <c r="R73" s="584"/>
      <c r="S73" s="584"/>
      <c r="T73" s="584"/>
      <c r="U73" s="584"/>
    </row>
    <row r="74" spans="1:21" hidden="1" x14ac:dyDescent="0.2">
      <c r="A74" s="597"/>
      <c r="B74" s="599" t="s">
        <v>242</v>
      </c>
      <c r="C74" s="600" t="s">
        <v>297</v>
      </c>
      <c r="D74" s="600" t="s">
        <v>298</v>
      </c>
      <c r="E74" s="597"/>
      <c r="F74" s="584"/>
      <c r="G74" s="584"/>
      <c r="H74" s="597"/>
      <c r="I74" s="597"/>
      <c r="J74" s="597"/>
      <c r="K74" s="584"/>
      <c r="L74" s="597"/>
      <c r="M74" s="584"/>
      <c r="N74" s="597"/>
      <c r="O74" s="587"/>
      <c r="P74" s="584"/>
      <c r="Q74" s="584"/>
      <c r="R74" s="584"/>
      <c r="S74" s="584"/>
      <c r="T74" s="584"/>
      <c r="U74" s="584"/>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10" hidden="1" x14ac:dyDescent="0.2"/>
    <row r="98" spans="1:10" hidden="1" x14ac:dyDescent="0.2"/>
    <row r="99" spans="1:10" hidden="1" x14ac:dyDescent="0.2"/>
    <row r="100" spans="1:10" hidden="1" x14ac:dyDescent="0.2">
      <c r="A100" s="901" t="s">
        <v>323</v>
      </c>
      <c r="B100" s="37"/>
      <c r="C100" s="37"/>
      <c r="D100" s="37"/>
      <c r="E100" s="37"/>
      <c r="F100" s="37"/>
      <c r="G100" s="37"/>
      <c r="H100" s="37"/>
      <c r="I100" s="37"/>
      <c r="J100" s="399"/>
    </row>
    <row r="101" spans="1:10" hidden="1" x14ac:dyDescent="0.2">
      <c r="A101" s="37"/>
      <c r="B101" s="37"/>
      <c r="C101" s="37"/>
      <c r="D101" s="37"/>
      <c r="E101" s="37"/>
      <c r="F101" s="37"/>
      <c r="G101" s="37"/>
      <c r="H101" s="37"/>
      <c r="I101" s="37"/>
      <c r="J101" s="399"/>
    </row>
    <row r="102" spans="1:10" hidden="1" x14ac:dyDescent="0.2">
      <c r="A102" s="902" t="s">
        <v>313</v>
      </c>
      <c r="B102" s="903" t="str">
        <f>IF(A102="-","-",IFERROR(INDEX(B$1:B$100,MATCH(A102,I$1:I$100,0)),""))</f>
        <v/>
      </c>
      <c r="C102" s="904">
        <v>13</v>
      </c>
      <c r="D102" s="905"/>
      <c r="E102" s="905"/>
      <c r="F102" s="905"/>
      <c r="G102" s="905"/>
      <c r="H102" s="905"/>
      <c r="I102" s="399"/>
      <c r="J102" s="399"/>
    </row>
    <row r="103" spans="1:10" hidden="1" x14ac:dyDescent="0.2">
      <c r="A103" s="902"/>
      <c r="B103" s="906"/>
      <c r="C103" s="907" t="str">
        <f>IF(COUNT(C102,C104)=2,IF(C102&gt;C104,B102,B104),"")</f>
        <v/>
      </c>
      <c r="D103" s="905"/>
      <c r="E103" s="904">
        <v>4</v>
      </c>
      <c r="F103" s="905"/>
      <c r="G103" s="905"/>
      <c r="H103" s="905"/>
      <c r="I103" s="399"/>
      <c r="J103" s="399"/>
    </row>
    <row r="104" spans="1:10" hidden="1" x14ac:dyDescent="0.2">
      <c r="A104" s="902" t="s">
        <v>314</v>
      </c>
      <c r="B104" s="908" t="str">
        <f>IF(A104="-","-",IFERROR(INDEX(B$1:B$100,MATCH(A104,I$1:I$100,0)),""))</f>
        <v/>
      </c>
      <c r="C104" s="909">
        <v>7</v>
      </c>
      <c r="D104" s="924"/>
      <c r="E104" s="905"/>
      <c r="F104" s="905"/>
      <c r="G104" s="905"/>
      <c r="H104" s="905"/>
      <c r="I104" s="399"/>
      <c r="J104" s="399"/>
    </row>
    <row r="105" spans="1:10" hidden="1" x14ac:dyDescent="0.2">
      <c r="A105" s="902"/>
      <c r="B105" s="905"/>
      <c r="C105" s="905"/>
      <c r="D105" s="929"/>
      <c r="E105" s="907" t="str">
        <f>IF(COUNT(E103,E107)=2,IF(E103&gt;E107,C103,C107),"")</f>
        <v/>
      </c>
      <c r="F105" s="905"/>
      <c r="G105" s="904">
        <v>12</v>
      </c>
      <c r="H105" s="905"/>
      <c r="I105" s="399"/>
      <c r="J105" s="399"/>
    </row>
    <row r="106" spans="1:10" hidden="1" x14ac:dyDescent="0.2">
      <c r="A106" s="902" t="s">
        <v>324</v>
      </c>
      <c r="B106" s="903" t="str">
        <f>IF(A106="-","-",IFERROR(INDEX(B$1:B$100,MATCH(A106,I$1:I$100,0)),""))</f>
        <v/>
      </c>
      <c r="C106" s="904">
        <v>5</v>
      </c>
      <c r="D106" s="929"/>
      <c r="E106" s="930"/>
      <c r="F106" s="924"/>
      <c r="G106" s="905"/>
      <c r="H106" s="905"/>
      <c r="I106" s="399"/>
      <c r="J106" s="399"/>
    </row>
    <row r="107" spans="1:10" hidden="1" x14ac:dyDescent="0.2">
      <c r="A107" s="902"/>
      <c r="B107" s="906"/>
      <c r="C107" s="907" t="str">
        <f>IF(COUNT(C106,C108)=2,IF(C106&gt;C108,B106,B108),"")</f>
        <v/>
      </c>
      <c r="D107" s="918"/>
      <c r="E107" s="909">
        <v>13</v>
      </c>
      <c r="F107" s="929"/>
      <c r="G107" s="905"/>
      <c r="H107" s="905"/>
      <c r="I107" s="399"/>
      <c r="J107" s="399"/>
    </row>
    <row r="108" spans="1:10" hidden="1" x14ac:dyDescent="0.2">
      <c r="A108" s="902" t="s">
        <v>325</v>
      </c>
      <c r="B108" s="908" t="str">
        <f>IF(A108="-","-",IFERROR(INDEX(B$1:B$100,MATCH(A108,I$1:I$100,0)),""))</f>
        <v/>
      </c>
      <c r="C108" s="909">
        <v>13</v>
      </c>
      <c r="D108" s="905"/>
      <c r="E108" s="919"/>
      <c r="F108" s="929"/>
      <c r="G108" s="905"/>
      <c r="H108" s="905"/>
      <c r="I108" s="399"/>
      <c r="J108" s="399"/>
    </row>
    <row r="109" spans="1:10" ht="13.5" hidden="1" thickBot="1" x14ac:dyDescent="0.25">
      <c r="A109" s="902"/>
      <c r="B109" s="905"/>
      <c r="C109" s="905"/>
      <c r="D109" s="905"/>
      <c r="E109" s="919"/>
      <c r="F109" s="929"/>
      <c r="G109" s="905"/>
      <c r="H109" s="914" t="str">
        <f>IF(COUNT(G105,G113)=2,IF(G105&gt;G113,E105,E113),"")</f>
        <v/>
      </c>
      <c r="I109" s="399"/>
      <c r="J109" s="399"/>
    </row>
    <row r="110" spans="1:10" hidden="1" x14ac:dyDescent="0.2">
      <c r="A110" s="902" t="s">
        <v>326</v>
      </c>
      <c r="B110" s="903" t="str">
        <f>IF(A110="-","-",IFERROR(INDEX(B$1:B$100,MATCH(A110,I$1:I$100,0)),""))</f>
        <v/>
      </c>
      <c r="C110" s="904">
        <v>13</v>
      </c>
      <c r="D110" s="905"/>
      <c r="E110" s="905"/>
      <c r="F110" s="929"/>
      <c r="G110" s="915"/>
      <c r="H110" s="916" t="s">
        <v>307</v>
      </c>
      <c r="I110" s="917"/>
      <c r="J110" s="399"/>
    </row>
    <row r="111" spans="1:10" hidden="1" x14ac:dyDescent="0.2">
      <c r="A111" s="902"/>
      <c r="B111" s="906"/>
      <c r="C111" s="907" t="str">
        <f>IF(COUNT(C110,C112)=2,IF(C110&gt;C112,B110,B112),"")</f>
        <v/>
      </c>
      <c r="D111" s="905"/>
      <c r="E111" s="904">
        <v>13</v>
      </c>
      <c r="F111" s="929"/>
      <c r="G111" s="919"/>
      <c r="H111" s="919"/>
      <c r="I111" s="920"/>
      <c r="J111" s="399"/>
    </row>
    <row r="112" spans="1:10" hidden="1" x14ac:dyDescent="0.2">
      <c r="A112" s="902" t="s">
        <v>327</v>
      </c>
      <c r="B112" s="908" t="str">
        <f>IF(A112="-","-",IFERROR(INDEX(B$1:B$100,MATCH(A112,I$1:I$100,0)),""))</f>
        <v/>
      </c>
      <c r="C112" s="909">
        <v>6</v>
      </c>
      <c r="D112" s="924"/>
      <c r="E112" s="905"/>
      <c r="F112" s="929"/>
      <c r="G112" s="919"/>
      <c r="H112" s="919"/>
      <c r="I112" s="920"/>
      <c r="J112" s="399"/>
    </row>
    <row r="113" spans="1:10" hidden="1" x14ac:dyDescent="0.2">
      <c r="A113" s="902"/>
      <c r="B113" s="905"/>
      <c r="C113" s="905"/>
      <c r="D113" s="929"/>
      <c r="E113" s="907" t="str">
        <f>IF(COUNT(E111,E115)=2,IF(E111&gt;E115,C111,C115),"")</f>
        <v/>
      </c>
      <c r="F113" s="918"/>
      <c r="G113" s="909">
        <v>13</v>
      </c>
      <c r="H113" s="919"/>
      <c r="I113" s="920"/>
      <c r="J113" s="399"/>
    </row>
    <row r="114" spans="1:10" ht="13.5" hidden="1" thickBot="1" x14ac:dyDescent="0.25">
      <c r="A114" s="902" t="s">
        <v>315</v>
      </c>
      <c r="B114" s="903" t="str">
        <f>IF(A114="-","-",IFERROR(INDEX(B$1:B$100,MATCH(A114,I$1:I$100,0)),""))</f>
        <v/>
      </c>
      <c r="C114" s="904">
        <v>13</v>
      </c>
      <c r="D114" s="929"/>
      <c r="E114" s="930"/>
      <c r="F114" s="919"/>
      <c r="G114" s="919"/>
      <c r="H114" s="921" t="str">
        <f>IF(COUNT(G105,G113)=2,IF(G105&lt;G113,E105,E113),"")</f>
        <v/>
      </c>
      <c r="I114" s="922"/>
      <c r="J114" s="399"/>
    </row>
    <row r="115" spans="1:10" hidden="1" x14ac:dyDescent="0.2">
      <c r="A115" s="902"/>
      <c r="B115" s="906"/>
      <c r="C115" s="907" t="str">
        <f>IF(COUNT(C114,C116)=2,IF(C114&gt;C116,B114,B116),"")</f>
        <v/>
      </c>
      <c r="D115" s="918"/>
      <c r="E115" s="909">
        <v>4</v>
      </c>
      <c r="F115" s="905"/>
      <c r="G115" s="919"/>
      <c r="H115" s="931" t="s">
        <v>308</v>
      </c>
      <c r="I115" s="399"/>
      <c r="J115" s="399"/>
    </row>
    <row r="116" spans="1:10" hidden="1" x14ac:dyDescent="0.2">
      <c r="A116" s="902" t="s">
        <v>316</v>
      </c>
      <c r="B116" s="908" t="str">
        <f>IF(A116="-","-",IFERROR(INDEX(B$1:B$100,MATCH(A116,I$1:I$100,0)),""))</f>
        <v/>
      </c>
      <c r="C116" s="909">
        <v>3</v>
      </c>
      <c r="D116" s="905"/>
      <c r="E116" s="919"/>
      <c r="F116" s="919"/>
      <c r="G116" s="919"/>
      <c r="H116" s="905"/>
      <c r="I116" s="399"/>
      <c r="J116" s="399"/>
    </row>
    <row r="117" spans="1:10" hidden="1" x14ac:dyDescent="0.2">
      <c r="A117" s="37"/>
      <c r="B117" s="37"/>
      <c r="C117" s="905"/>
      <c r="D117" s="905"/>
      <c r="E117" s="914" t="str">
        <f>IF(COUNT(E103,E107)=2,IF(E103&lt;E107,C103,C107),"")</f>
        <v/>
      </c>
      <c r="F117" s="905"/>
      <c r="G117" s="911">
        <v>5</v>
      </c>
      <c r="H117" s="905"/>
      <c r="I117" s="399"/>
      <c r="J117" s="399"/>
    </row>
    <row r="118" spans="1:10" ht="13.5" hidden="1" thickBot="1" x14ac:dyDescent="0.25">
      <c r="A118" s="37"/>
      <c r="B118" s="37"/>
      <c r="C118" s="905"/>
      <c r="D118" s="905"/>
      <c r="E118" s="906"/>
      <c r="F118" s="924"/>
      <c r="G118" s="925"/>
      <c r="H118" s="914" t="str">
        <f>IF(COUNT(G117,G119)=2,IF(G117&gt;G119,E117,E119),"")</f>
        <v/>
      </c>
      <c r="I118" s="399"/>
      <c r="J118" s="399"/>
    </row>
    <row r="119" spans="1:10" hidden="1" x14ac:dyDescent="0.2">
      <c r="A119" s="37"/>
      <c r="B119" s="37"/>
      <c r="C119" s="905"/>
      <c r="D119" s="905"/>
      <c r="E119" s="903" t="str">
        <f>IF(COUNT(E111,E115)=2,IF(E111&lt;E115,C111,C115),"")</f>
        <v/>
      </c>
      <c r="F119" s="918"/>
      <c r="G119" s="909">
        <v>13</v>
      </c>
      <c r="H119" s="916" t="s">
        <v>274</v>
      </c>
      <c r="I119" s="917"/>
      <c r="J119" s="399"/>
    </row>
    <row r="120" spans="1:10" hidden="1" x14ac:dyDescent="0.2">
      <c r="A120" s="37"/>
      <c r="B120" s="37"/>
      <c r="C120" s="905"/>
      <c r="D120" s="905"/>
      <c r="E120" s="905"/>
      <c r="F120" s="905"/>
      <c r="G120" s="905"/>
      <c r="H120" s="919"/>
      <c r="I120" s="920"/>
      <c r="J120" s="399"/>
    </row>
    <row r="121" spans="1:10" ht="13.5" hidden="1" thickBot="1" x14ac:dyDescent="0.25">
      <c r="A121" s="37"/>
      <c r="B121" s="37"/>
      <c r="C121" s="905"/>
      <c r="D121" s="905"/>
      <c r="E121" s="919"/>
      <c r="F121" s="919"/>
      <c r="G121" s="905"/>
      <c r="H121" s="921" t="str">
        <f>IF(COUNT(G117,G119)=2,IF(G117&lt;G119,E117,E119),"")</f>
        <v/>
      </c>
      <c r="I121" s="922"/>
      <c r="J121" s="399"/>
    </row>
    <row r="122" spans="1:10" hidden="1" x14ac:dyDescent="0.2">
      <c r="A122" s="37"/>
      <c r="B122" s="37"/>
      <c r="C122" s="905"/>
      <c r="D122" s="905"/>
      <c r="E122" s="905"/>
      <c r="F122" s="905"/>
      <c r="G122" s="905"/>
      <c r="H122" s="923" t="s">
        <v>272</v>
      </c>
      <c r="I122" s="399"/>
      <c r="J122" s="399"/>
    </row>
    <row r="123" spans="1:10" hidden="1" x14ac:dyDescent="0.2">
      <c r="A123" s="37"/>
      <c r="B123" s="37"/>
      <c r="C123" s="903" t="str">
        <f>IF(COUNT(C102,C104)=2,IF(C102&lt;C104,B102,B104),"")</f>
        <v/>
      </c>
      <c r="D123" s="905"/>
      <c r="E123" s="904">
        <v>13</v>
      </c>
      <c r="F123" s="904"/>
      <c r="G123" s="904"/>
      <c r="H123" s="905"/>
      <c r="I123" s="399"/>
      <c r="J123" s="399"/>
    </row>
    <row r="124" spans="1:10" hidden="1" x14ac:dyDescent="0.2">
      <c r="A124" s="37"/>
      <c r="B124" s="37"/>
      <c r="C124" s="932"/>
      <c r="D124" s="910"/>
      <c r="E124" s="907" t="str">
        <f>IF(COUNT(E123,E125)=2,IF(E123&gt;E125,C123,C125),"")</f>
        <v/>
      </c>
      <c r="F124" s="905"/>
      <c r="G124" s="904">
        <v>13</v>
      </c>
      <c r="H124" s="905"/>
      <c r="I124" s="399"/>
      <c r="J124" s="399"/>
    </row>
    <row r="125" spans="1:10" hidden="1" x14ac:dyDescent="0.2">
      <c r="A125" s="37"/>
      <c r="B125" s="37"/>
      <c r="C125" s="903" t="str">
        <f>IF(COUNT(C106,C108)=2,IF(C106&lt;C108,B106,B108),"")</f>
        <v/>
      </c>
      <c r="D125" s="933"/>
      <c r="E125" s="909">
        <v>9</v>
      </c>
      <c r="F125" s="910"/>
      <c r="G125" s="905"/>
      <c r="H125" s="905"/>
      <c r="I125" s="399"/>
      <c r="J125" s="399"/>
    </row>
    <row r="126" spans="1:10" ht="13.5" hidden="1" thickBot="1" x14ac:dyDescent="0.25">
      <c r="A126" s="37"/>
      <c r="B126" s="37"/>
      <c r="C126" s="904"/>
      <c r="D126" s="904"/>
      <c r="E126" s="911"/>
      <c r="F126" s="912"/>
      <c r="G126" s="913"/>
      <c r="H126" s="914" t="str">
        <f>IF(COUNT(G124,G128)=2,IF(G124&gt;G128,E124,E128),"")</f>
        <v/>
      </c>
      <c r="I126" s="399"/>
      <c r="J126" s="399"/>
    </row>
    <row r="127" spans="1:10" hidden="1" x14ac:dyDescent="0.2">
      <c r="A127" s="37"/>
      <c r="B127" s="37"/>
      <c r="C127" s="903" t="str">
        <f>IF(COUNT(C110,C112)=2,IF(C110&lt;C112,B110,B112),"")</f>
        <v/>
      </c>
      <c r="D127" s="904"/>
      <c r="E127" s="904">
        <v>7</v>
      </c>
      <c r="F127" s="912"/>
      <c r="G127" s="915"/>
      <c r="H127" s="916" t="s">
        <v>273</v>
      </c>
      <c r="I127" s="917"/>
      <c r="J127" s="399"/>
    </row>
    <row r="128" spans="1:10" hidden="1" x14ac:dyDescent="0.2">
      <c r="A128" s="37"/>
      <c r="B128" s="37"/>
      <c r="C128" s="932"/>
      <c r="D128" s="910"/>
      <c r="E128" s="907" t="str">
        <f>IF(COUNT(E127,E129)=2,IF(E127&gt;E129,C127,C129),"")</f>
        <v/>
      </c>
      <c r="F128" s="918"/>
      <c r="G128" s="909">
        <v>9</v>
      </c>
      <c r="H128" s="919"/>
      <c r="I128" s="920"/>
      <c r="J128" s="399"/>
    </row>
    <row r="129" spans="1:10" ht="13.5" hidden="1" thickBot="1" x14ac:dyDescent="0.25">
      <c r="A129" s="37"/>
      <c r="B129" s="37"/>
      <c r="C129" s="903" t="str">
        <f>IF(COUNT(C114,C116)=2,IF(C114&lt;C116,B114,B116),"")</f>
        <v/>
      </c>
      <c r="D129" s="933"/>
      <c r="E129" s="909">
        <v>13</v>
      </c>
      <c r="F129" s="904"/>
      <c r="G129" s="911"/>
      <c r="H129" s="921" t="str">
        <f>IF(COUNT(G124,G128)=2,IF(G124&lt;G128,E124,E128),"")</f>
        <v/>
      </c>
      <c r="I129" s="922"/>
      <c r="J129" s="399"/>
    </row>
    <row r="130" spans="1:10" hidden="1" x14ac:dyDescent="0.2">
      <c r="A130" s="37"/>
      <c r="B130" s="37"/>
      <c r="C130" s="904"/>
      <c r="D130" s="904"/>
      <c r="E130" s="904"/>
      <c r="F130" s="904"/>
      <c r="G130" s="911"/>
      <c r="H130" s="923" t="s">
        <v>271</v>
      </c>
      <c r="I130" s="399"/>
      <c r="J130" s="399"/>
    </row>
    <row r="131" spans="1:10" hidden="1" x14ac:dyDescent="0.2">
      <c r="A131" s="37"/>
      <c r="B131" s="37"/>
      <c r="C131" s="904"/>
      <c r="D131" s="911"/>
      <c r="E131" s="914" t="str">
        <f>IF(COUNT(E123,E125)=2,IF(E123&lt;E125,C123,C125),"")</f>
        <v/>
      </c>
      <c r="F131" s="905"/>
      <c r="G131" s="911">
        <v>5</v>
      </c>
      <c r="H131" s="919"/>
      <c r="I131" s="399"/>
      <c r="J131" s="399"/>
    </row>
    <row r="132" spans="1:10" ht="13.5" hidden="1" thickBot="1" x14ac:dyDescent="0.25">
      <c r="A132" s="37"/>
      <c r="B132" s="37"/>
      <c r="C132" s="904"/>
      <c r="D132" s="911"/>
      <c r="E132" s="906"/>
      <c r="F132" s="924"/>
      <c r="G132" s="925"/>
      <c r="H132" s="914" t="str">
        <f>IF(COUNT(G131,G133)=2,IF(G131&gt;G133,E131,E133),"")</f>
        <v/>
      </c>
      <c r="I132" s="399"/>
      <c r="J132" s="399"/>
    </row>
    <row r="133" spans="1:10" hidden="1" x14ac:dyDescent="0.2">
      <c r="A133" s="37"/>
      <c r="B133" s="37"/>
      <c r="C133" s="904"/>
      <c r="D133" s="911"/>
      <c r="E133" s="903" t="str">
        <f>IF(COUNT(E127,E129)=2,IF(E127&lt;E129,C127,C129),"")</f>
        <v/>
      </c>
      <c r="F133" s="918"/>
      <c r="G133" s="909">
        <v>13</v>
      </c>
      <c r="H133" s="916" t="s">
        <v>279</v>
      </c>
      <c r="I133" s="917"/>
      <c r="J133" s="399"/>
    </row>
    <row r="134" spans="1:10" hidden="1" x14ac:dyDescent="0.2">
      <c r="A134" s="37"/>
      <c r="B134" s="37"/>
      <c r="C134" s="905"/>
      <c r="D134" s="919"/>
      <c r="E134" s="905"/>
      <c r="F134" s="905"/>
      <c r="G134" s="905"/>
      <c r="H134" s="919"/>
      <c r="I134" s="920"/>
      <c r="J134" s="399"/>
    </row>
    <row r="135" spans="1:10" ht="13.5" hidden="1" thickBot="1" x14ac:dyDescent="0.25">
      <c r="A135" s="37"/>
      <c r="B135" s="37"/>
      <c r="C135" s="905"/>
      <c r="D135" s="905"/>
      <c r="E135" s="919"/>
      <c r="F135" s="919"/>
      <c r="G135" s="905"/>
      <c r="H135" s="926" t="str">
        <f>IF(COUNT(G131,G133)=2,IF(G131&lt;G133,E131,E133),"")</f>
        <v/>
      </c>
      <c r="I135" s="922"/>
      <c r="J135" s="399"/>
    </row>
    <row r="136" spans="1:10" hidden="1" x14ac:dyDescent="0.2">
      <c r="A136" s="37"/>
      <c r="B136" s="37"/>
      <c r="C136" s="905"/>
      <c r="D136" s="905"/>
      <c r="E136" s="919"/>
      <c r="F136" s="919"/>
      <c r="G136" s="905"/>
      <c r="H136" s="923" t="s">
        <v>275</v>
      </c>
      <c r="I136" s="399"/>
      <c r="J136" s="399"/>
    </row>
    <row r="137" spans="1:10" hidden="1" x14ac:dyDescent="0.2">
      <c r="A137" s="37"/>
      <c r="B137" s="37"/>
      <c r="C137" s="399"/>
      <c r="D137" s="399"/>
      <c r="E137" s="399"/>
      <c r="F137" s="399"/>
      <c r="G137" s="399"/>
      <c r="H137" s="399"/>
      <c r="I137" s="399"/>
      <c r="J137" s="399"/>
    </row>
    <row r="138" spans="1:10" hidden="1" x14ac:dyDescent="0.2">
      <c r="A138" s="901" t="s">
        <v>328</v>
      </c>
      <c r="B138" s="37"/>
      <c r="C138" s="37"/>
      <c r="D138" s="37"/>
      <c r="E138" s="37"/>
      <c r="F138" s="37"/>
      <c r="G138" s="37"/>
      <c r="H138" s="37"/>
      <c r="I138" s="37"/>
      <c r="J138" s="399"/>
    </row>
    <row r="139" spans="1:10" hidden="1" x14ac:dyDescent="0.2">
      <c r="A139" s="37"/>
      <c r="B139" s="37"/>
      <c r="C139" s="37"/>
      <c r="D139" s="37"/>
      <c r="E139" s="37"/>
      <c r="F139" s="37"/>
      <c r="G139" s="37"/>
      <c r="H139" s="37"/>
      <c r="I139" s="37"/>
      <c r="J139" s="399"/>
    </row>
    <row r="140" spans="1:10" hidden="1" x14ac:dyDescent="0.2">
      <c r="A140" s="902" t="s">
        <v>321</v>
      </c>
      <c r="B140" s="903" t="str">
        <f>IF(A140="-","-",IFERROR(INDEX(B$1:B$100,MATCH(A140,I$1:I$100,0)),""))</f>
        <v/>
      </c>
      <c r="C140" s="904">
        <v>13</v>
      </c>
      <c r="D140" s="905"/>
      <c r="E140" s="905"/>
      <c r="F140" s="905"/>
      <c r="G140" s="905"/>
      <c r="H140" s="905"/>
      <c r="I140" s="399"/>
      <c r="J140" s="399"/>
    </row>
    <row r="141" spans="1:10" hidden="1" x14ac:dyDescent="0.2">
      <c r="A141" s="902"/>
      <c r="B141" s="906"/>
      <c r="C141" s="907" t="str">
        <f>IF(COUNT(C140,C142)=2,IF(C140&gt;C142,B140,B142),"")</f>
        <v/>
      </c>
      <c r="D141" s="905"/>
      <c r="E141" s="904">
        <v>13</v>
      </c>
      <c r="F141" s="905"/>
      <c r="G141" s="905"/>
      <c r="H141" s="905"/>
      <c r="I141" s="399"/>
      <c r="J141" s="399"/>
    </row>
    <row r="142" spans="1:10" hidden="1" x14ac:dyDescent="0.2">
      <c r="A142" s="902" t="s">
        <v>319</v>
      </c>
      <c r="B142" s="908" t="str">
        <f>IF(A142="-","-",IFERROR(INDEX(B$1:B$100,MATCH(A142,I$1:I$100,0)),""))</f>
        <v/>
      </c>
      <c r="C142" s="909">
        <v>8</v>
      </c>
      <c r="D142" s="924"/>
      <c r="E142" s="905"/>
      <c r="F142" s="905"/>
      <c r="G142" s="905"/>
      <c r="H142" s="905"/>
      <c r="I142" s="399"/>
      <c r="J142" s="399"/>
    </row>
    <row r="143" spans="1:10" hidden="1" x14ac:dyDescent="0.2">
      <c r="A143" s="902"/>
      <c r="B143" s="905"/>
      <c r="C143" s="905"/>
      <c r="D143" s="929"/>
      <c r="E143" s="907" t="str">
        <f>IF(COUNT(E141,E145)=2,IF(E141&gt;E145,C141,C145),"")</f>
        <v/>
      </c>
      <c r="F143" s="905"/>
      <c r="G143" s="904">
        <v>12</v>
      </c>
      <c r="H143" s="905"/>
      <c r="I143" s="399"/>
      <c r="J143" s="399"/>
    </row>
    <row r="144" spans="1:10" hidden="1" x14ac:dyDescent="0.2">
      <c r="A144" s="902" t="s">
        <v>329</v>
      </c>
      <c r="B144" s="903" t="str">
        <f>IF(A144="-","-",IFERROR(INDEX(B$1:B$100,MATCH(A144,I$1:I$100,0)),""))</f>
        <v/>
      </c>
      <c r="C144" s="904">
        <v>13</v>
      </c>
      <c r="D144" s="929"/>
      <c r="E144" s="930"/>
      <c r="F144" s="924"/>
      <c r="G144" s="905"/>
      <c r="H144" s="905"/>
      <c r="I144" s="399"/>
      <c r="J144" s="399"/>
    </row>
    <row r="145" spans="1:10" hidden="1" x14ac:dyDescent="0.2">
      <c r="A145" s="902"/>
      <c r="B145" s="906"/>
      <c r="C145" s="907" t="str">
        <f>IF(COUNT(C144,C146)=2,IF(C144&gt;C146,B144,B146),"")</f>
        <v/>
      </c>
      <c r="D145" s="918"/>
      <c r="E145" s="909">
        <v>11</v>
      </c>
      <c r="F145" s="929"/>
      <c r="G145" s="905"/>
      <c r="H145" s="905"/>
      <c r="I145" s="399"/>
      <c r="J145" s="399"/>
    </row>
    <row r="146" spans="1:10" hidden="1" x14ac:dyDescent="0.2">
      <c r="A146" s="902" t="s">
        <v>330</v>
      </c>
      <c r="B146" s="908" t="str">
        <f>IF(A146="-","-",IFERROR(INDEX(B$1:B$100,MATCH(A146,I$1:I$100,0)),""))</f>
        <v/>
      </c>
      <c r="C146" s="909">
        <v>6</v>
      </c>
      <c r="D146" s="905"/>
      <c r="E146" s="919"/>
      <c r="F146" s="929"/>
      <c r="G146" s="905"/>
      <c r="H146" s="905"/>
      <c r="I146" s="399"/>
      <c r="J146" s="399"/>
    </row>
    <row r="147" spans="1:10" ht="13.5" hidden="1" thickBot="1" x14ac:dyDescent="0.25">
      <c r="A147" s="902"/>
      <c r="B147" s="905"/>
      <c r="C147" s="905"/>
      <c r="D147" s="905"/>
      <c r="E147" s="919"/>
      <c r="F147" s="929"/>
      <c r="G147" s="905"/>
      <c r="H147" s="914" t="str">
        <f>IF(COUNT(G143,G151)=2,IF(G143&gt;G151,E143,E151),"")</f>
        <v/>
      </c>
      <c r="I147" s="399"/>
      <c r="J147" s="399"/>
    </row>
    <row r="148" spans="1:10" hidden="1" x14ac:dyDescent="0.2">
      <c r="A148" s="902" t="s">
        <v>331</v>
      </c>
      <c r="B148" s="903" t="str">
        <f>IF(A148="-","-",IFERROR(INDEX(B$1:B$100,MATCH(A148,I$1:I$100,0)),""))</f>
        <v/>
      </c>
      <c r="C148" s="904">
        <v>13</v>
      </c>
      <c r="D148" s="905"/>
      <c r="E148" s="905"/>
      <c r="F148" s="929"/>
      <c r="G148" s="915"/>
      <c r="H148" s="916" t="s">
        <v>278</v>
      </c>
      <c r="I148" s="917"/>
      <c r="J148" s="399"/>
    </row>
    <row r="149" spans="1:10" hidden="1" x14ac:dyDescent="0.2">
      <c r="A149" s="902"/>
      <c r="B149" s="906"/>
      <c r="C149" s="907" t="str">
        <f>IF(COUNT(C148,C150)=2,IF(C148&gt;C150,B148,B150),"")</f>
        <v/>
      </c>
      <c r="D149" s="905"/>
      <c r="E149" s="904">
        <v>0</v>
      </c>
      <c r="F149" s="929"/>
      <c r="G149" s="919"/>
      <c r="H149" s="919"/>
      <c r="I149" s="920"/>
      <c r="J149" s="399"/>
    </row>
    <row r="150" spans="1:10" hidden="1" x14ac:dyDescent="0.2">
      <c r="A150" s="902" t="s">
        <v>332</v>
      </c>
      <c r="B150" s="908" t="str">
        <f>IF(A150="-","-",IFERROR(INDEX(B$1:B$100,MATCH(A150,I$1:I$100,0)),""))</f>
        <v/>
      </c>
      <c r="C150" s="909">
        <v>0</v>
      </c>
      <c r="D150" s="924"/>
      <c r="E150" s="905"/>
      <c r="F150" s="929"/>
      <c r="G150" s="919"/>
      <c r="H150" s="919"/>
      <c r="I150" s="920"/>
      <c r="J150" s="399"/>
    </row>
    <row r="151" spans="1:10" hidden="1" x14ac:dyDescent="0.2">
      <c r="A151" s="902"/>
      <c r="B151" s="905"/>
      <c r="C151" s="905"/>
      <c r="D151" s="929"/>
      <c r="E151" s="907" t="str">
        <f>IF(COUNT(E149,E153)=2,IF(E149&gt;E153,C149,C153),"")</f>
        <v/>
      </c>
      <c r="F151" s="918"/>
      <c r="G151" s="909">
        <v>13</v>
      </c>
      <c r="H151" s="919"/>
      <c r="I151" s="920"/>
      <c r="J151" s="399"/>
    </row>
    <row r="152" spans="1:10" ht="13.5" hidden="1" thickBot="1" x14ac:dyDescent="0.25">
      <c r="A152" s="902" t="s">
        <v>318</v>
      </c>
      <c r="B152" s="903" t="str">
        <f>IF(A152="-","-",IFERROR(INDEX(B$1:B$100,MATCH(A152,I$1:I$100,0)),""))</f>
        <v/>
      </c>
      <c r="C152" s="904">
        <v>3</v>
      </c>
      <c r="D152" s="929"/>
      <c r="E152" s="930"/>
      <c r="F152" s="919"/>
      <c r="G152" s="919"/>
      <c r="H152" s="921" t="str">
        <f>IF(COUNT(G143,G151)=2,IF(G143&lt;G151,E143,E151),"")</f>
        <v/>
      </c>
      <c r="I152" s="922"/>
      <c r="J152" s="399"/>
    </row>
    <row r="153" spans="1:10" hidden="1" x14ac:dyDescent="0.2">
      <c r="A153" s="902"/>
      <c r="B153" s="906"/>
      <c r="C153" s="907" t="str">
        <f>IF(COUNT(C152,C154)=2,IF(C152&gt;C154,B152,B154),"")</f>
        <v/>
      </c>
      <c r="D153" s="918"/>
      <c r="E153" s="909">
        <v>13</v>
      </c>
      <c r="F153" s="905"/>
      <c r="G153" s="919"/>
      <c r="H153" s="931" t="s">
        <v>276</v>
      </c>
      <c r="I153" s="399"/>
      <c r="J153" s="399"/>
    </row>
    <row r="154" spans="1:10" hidden="1" x14ac:dyDescent="0.2">
      <c r="A154" s="902" t="s">
        <v>320</v>
      </c>
      <c r="B154" s="908" t="str">
        <f>IF(A154="-","-",IFERROR(INDEX(B$1:B$100,MATCH(A154,I$1:I$100,0)),""))</f>
        <v/>
      </c>
      <c r="C154" s="909">
        <v>13</v>
      </c>
      <c r="D154" s="905"/>
      <c r="E154" s="919"/>
      <c r="F154" s="919"/>
      <c r="G154" s="919"/>
      <c r="H154" s="905"/>
      <c r="I154" s="399"/>
      <c r="J154" s="399"/>
    </row>
    <row r="155" spans="1:10" hidden="1" x14ac:dyDescent="0.2">
      <c r="A155" s="37"/>
      <c r="B155" s="37"/>
      <c r="C155" s="905"/>
      <c r="D155" s="905"/>
      <c r="E155" s="914" t="str">
        <f>IF(COUNT(E141,E145)=2,IF(E141&lt;E145,C141,C145),"")</f>
        <v/>
      </c>
      <c r="F155" s="905"/>
      <c r="G155" s="911">
        <v>13</v>
      </c>
      <c r="H155" s="905"/>
      <c r="I155" s="399"/>
      <c r="J155" s="399"/>
    </row>
    <row r="156" spans="1:10" ht="13.5" hidden="1" thickBot="1" x14ac:dyDescent="0.25">
      <c r="A156" s="37"/>
      <c r="B156" s="37"/>
      <c r="C156" s="905"/>
      <c r="D156" s="905"/>
      <c r="E156" s="906"/>
      <c r="F156" s="924"/>
      <c r="G156" s="925"/>
      <c r="H156" s="914" t="str">
        <f>IF(COUNT(G155,G157)=2,IF(G155&gt;G157,E155,E157),"")</f>
        <v/>
      </c>
      <c r="I156" s="399"/>
      <c r="J156" s="399"/>
    </row>
    <row r="157" spans="1:10" hidden="1" x14ac:dyDescent="0.2">
      <c r="A157" s="37"/>
      <c r="B157" s="37"/>
      <c r="C157" s="905"/>
      <c r="D157" s="905"/>
      <c r="E157" s="903" t="str">
        <f>IF(COUNT(E149,E153)=2,IF(E149&lt;E153,C149,C153),"")</f>
        <v/>
      </c>
      <c r="F157" s="918"/>
      <c r="G157" s="909">
        <v>1</v>
      </c>
      <c r="H157" s="916" t="s">
        <v>277</v>
      </c>
      <c r="I157" s="917"/>
      <c r="J157" s="399"/>
    </row>
    <row r="158" spans="1:10" hidden="1" x14ac:dyDescent="0.2">
      <c r="A158" s="37"/>
      <c r="B158" s="37"/>
      <c r="C158" s="905"/>
      <c r="D158" s="905"/>
      <c r="E158" s="905"/>
      <c r="F158" s="905"/>
      <c r="G158" s="905"/>
      <c r="H158" s="919"/>
      <c r="I158" s="920"/>
      <c r="J158" s="399"/>
    </row>
    <row r="159" spans="1:10" ht="13.5" hidden="1" thickBot="1" x14ac:dyDescent="0.25">
      <c r="A159" s="37"/>
      <c r="B159" s="37"/>
      <c r="C159" s="905"/>
      <c r="D159" s="905"/>
      <c r="E159" s="919"/>
      <c r="F159" s="919"/>
      <c r="G159" s="905"/>
      <c r="H159" s="921" t="str">
        <f>IF(COUNT(G155,G157)=2,IF(G155&lt;G157,E155,E157),"")</f>
        <v/>
      </c>
      <c r="I159" s="922"/>
      <c r="J159" s="399"/>
    </row>
    <row r="160" spans="1:10" hidden="1" x14ac:dyDescent="0.2">
      <c r="A160" s="37"/>
      <c r="B160" s="37"/>
      <c r="C160" s="905"/>
      <c r="D160" s="905"/>
      <c r="E160" s="905"/>
      <c r="F160" s="905"/>
      <c r="G160" s="905"/>
      <c r="H160" s="923" t="s">
        <v>333</v>
      </c>
      <c r="I160" s="399"/>
      <c r="J160" s="399"/>
    </row>
    <row r="161" spans="1:10" hidden="1" x14ac:dyDescent="0.2">
      <c r="A161" s="37"/>
      <c r="B161" s="37"/>
      <c r="C161" s="903" t="str">
        <f>IF(COUNT(C140,C142)=2,IF(C140&lt;C142,B140,B142),"")</f>
        <v/>
      </c>
      <c r="D161" s="905"/>
      <c r="E161" s="904">
        <v>13</v>
      </c>
      <c r="F161" s="904"/>
      <c r="G161" s="904"/>
      <c r="H161" s="905"/>
      <c r="I161" s="399"/>
      <c r="J161" s="399"/>
    </row>
    <row r="162" spans="1:10" hidden="1" x14ac:dyDescent="0.2">
      <c r="A162" s="37"/>
      <c r="B162" s="37"/>
      <c r="C162" s="932"/>
      <c r="D162" s="910"/>
      <c r="E162" s="907" t="str">
        <f>IF(COUNT(E161,E163)=2,IF(E161&gt;E163,C161,C163),"")</f>
        <v/>
      </c>
      <c r="F162" s="905"/>
      <c r="G162" s="904">
        <v>13</v>
      </c>
      <c r="H162" s="905"/>
      <c r="I162" s="399"/>
      <c r="J162" s="399"/>
    </row>
    <row r="163" spans="1:10" hidden="1" x14ac:dyDescent="0.2">
      <c r="A163" s="37"/>
      <c r="B163" s="37"/>
      <c r="C163" s="903" t="str">
        <f>IF(COUNT(C144,C146)=2,IF(C144&lt;C146,B144,B146),"")</f>
        <v/>
      </c>
      <c r="D163" s="933"/>
      <c r="E163" s="909">
        <v>0</v>
      </c>
      <c r="F163" s="910"/>
      <c r="G163" s="905"/>
      <c r="H163" s="905"/>
      <c r="I163" s="399"/>
      <c r="J163" s="399"/>
    </row>
    <row r="164" spans="1:10" ht="13.5" hidden="1" thickBot="1" x14ac:dyDescent="0.25">
      <c r="A164" s="37"/>
      <c r="B164" s="37"/>
      <c r="C164" s="904"/>
      <c r="D164" s="904"/>
      <c r="E164" s="911"/>
      <c r="F164" s="912"/>
      <c r="G164" s="913"/>
      <c r="H164" s="914" t="str">
        <f>IF(COUNT(G162,G166)=2,IF(G162&gt;G166,E162,E166),"")</f>
        <v/>
      </c>
      <c r="I164" s="399"/>
      <c r="J164" s="399"/>
    </row>
    <row r="165" spans="1:10" hidden="1" x14ac:dyDescent="0.2">
      <c r="A165" s="37"/>
      <c r="B165" s="37"/>
      <c r="C165" s="903" t="str">
        <f>IF(COUNT(C148,C150)=2,IF(C148&lt;C150,B148,B150),"")</f>
        <v/>
      </c>
      <c r="D165" s="904"/>
      <c r="E165" s="904">
        <v>0</v>
      </c>
      <c r="F165" s="912"/>
      <c r="G165" s="915"/>
      <c r="H165" s="916" t="s">
        <v>334</v>
      </c>
      <c r="I165" s="917"/>
      <c r="J165" s="399"/>
    </row>
    <row r="166" spans="1:10" hidden="1" x14ac:dyDescent="0.2">
      <c r="A166" s="37"/>
      <c r="B166" s="37"/>
      <c r="C166" s="932"/>
      <c r="D166" s="910"/>
      <c r="E166" s="907" t="str">
        <f>IF(COUNT(E165,E167)=2,IF(E165&gt;E167,C165,C167),"")</f>
        <v/>
      </c>
      <c r="F166" s="918"/>
      <c r="G166" s="909">
        <v>1</v>
      </c>
      <c r="H166" s="919"/>
      <c r="I166" s="920"/>
      <c r="J166" s="399"/>
    </row>
    <row r="167" spans="1:10" ht="13.5" hidden="1" thickBot="1" x14ac:dyDescent="0.25">
      <c r="A167" s="37"/>
      <c r="B167" s="37"/>
      <c r="C167" s="903" t="str">
        <f>IF(COUNT(C152,C154)=2,IF(C152&lt;C154,B152,B154),"")</f>
        <v/>
      </c>
      <c r="D167" s="933"/>
      <c r="E167" s="909">
        <v>13</v>
      </c>
      <c r="F167" s="904"/>
      <c r="G167" s="911"/>
      <c r="H167" s="921" t="str">
        <f>IF(COUNT(G162,G166)=2,IF(G162&lt;G166,E162,E166),"")</f>
        <v/>
      </c>
      <c r="I167" s="922"/>
      <c r="J167" s="399"/>
    </row>
    <row r="168" spans="1:10" hidden="1" x14ac:dyDescent="0.2">
      <c r="A168" s="37"/>
      <c r="B168" s="37"/>
      <c r="C168" s="904"/>
      <c r="D168" s="904"/>
      <c r="E168" s="904"/>
      <c r="F168" s="904"/>
      <c r="G168" s="911"/>
      <c r="H168" s="923" t="s">
        <v>335</v>
      </c>
      <c r="I168" s="399"/>
      <c r="J168" s="399"/>
    </row>
    <row r="169" spans="1:10" hidden="1" x14ac:dyDescent="0.2">
      <c r="A169" s="37"/>
      <c r="B169" s="37"/>
      <c r="C169" s="904"/>
      <c r="D169" s="911"/>
      <c r="E169" s="914" t="str">
        <f>IF(COUNT(E161,E163)=2,IF(E161&lt;E163,C161,C163),"")</f>
        <v/>
      </c>
      <c r="F169" s="905"/>
      <c r="G169" s="911">
        <v>13</v>
      </c>
      <c r="H169" s="919"/>
      <c r="I169" s="399"/>
      <c r="J169" s="399"/>
    </row>
    <row r="170" spans="1:10" ht="13.5" hidden="1" thickBot="1" x14ac:dyDescent="0.25">
      <c r="A170" s="37"/>
      <c r="B170" s="37"/>
      <c r="C170" s="904"/>
      <c r="D170" s="911"/>
      <c r="E170" s="906"/>
      <c r="F170" s="924"/>
      <c r="G170" s="925"/>
      <c r="H170" s="914" t="str">
        <f>IF(COUNT(G169,G171)=2,IF(G169&gt;G171,E169,E171),"")</f>
        <v/>
      </c>
      <c r="I170" s="399"/>
      <c r="J170" s="399"/>
    </row>
    <row r="171" spans="1:10" hidden="1" x14ac:dyDescent="0.2">
      <c r="A171" s="37"/>
      <c r="B171" s="37"/>
      <c r="C171" s="904"/>
      <c r="D171" s="911"/>
      <c r="E171" s="903" t="str">
        <f>IF(COUNT(E165,E167)=2,IF(E165&lt;E167,C165,C167),"")</f>
        <v/>
      </c>
      <c r="F171" s="918"/>
      <c r="G171" s="909">
        <v>0</v>
      </c>
      <c r="H171" s="916" t="s">
        <v>336</v>
      </c>
      <c r="I171" s="917"/>
      <c r="J171" s="399"/>
    </row>
    <row r="172" spans="1:10" hidden="1" x14ac:dyDescent="0.2">
      <c r="A172" s="37"/>
      <c r="B172" s="37"/>
      <c r="C172" s="905"/>
      <c r="D172" s="919"/>
      <c r="E172" s="905"/>
      <c r="F172" s="905"/>
      <c r="G172" s="905"/>
      <c r="H172" s="919"/>
      <c r="I172" s="920"/>
      <c r="J172" s="399"/>
    </row>
    <row r="173" spans="1:10" ht="13.5" hidden="1" thickBot="1" x14ac:dyDescent="0.25">
      <c r="A173" s="37"/>
      <c r="B173" s="37"/>
      <c r="C173" s="905"/>
      <c r="D173" s="905"/>
      <c r="E173" s="919"/>
      <c r="F173" s="919"/>
      <c r="G173" s="905"/>
      <c r="H173" s="926" t="str">
        <f>IF(COUNT(G169,G171)=2,IF(G169&lt;G171,E169,E171),"")</f>
        <v/>
      </c>
      <c r="I173" s="922"/>
      <c r="J173" s="399"/>
    </row>
    <row r="174" spans="1:10" hidden="1" x14ac:dyDescent="0.2">
      <c r="A174" s="37"/>
      <c r="B174" s="37"/>
      <c r="C174" s="905"/>
      <c r="D174" s="905"/>
      <c r="E174" s="919"/>
      <c r="F174" s="919"/>
      <c r="G174" s="905"/>
      <c r="H174" s="923" t="s">
        <v>337</v>
      </c>
      <c r="I174" s="399"/>
      <c r="J174" s="399"/>
    </row>
    <row r="175" spans="1:10" hidden="1" x14ac:dyDescent="0.2">
      <c r="A175" s="399"/>
      <c r="B175" s="399"/>
      <c r="C175" s="399"/>
      <c r="D175" s="399"/>
      <c r="E175" s="399"/>
      <c r="F175" s="399"/>
      <c r="G175" s="399"/>
      <c r="H175" s="399"/>
      <c r="I175" s="399"/>
      <c r="J175" s="399"/>
    </row>
    <row r="176" spans="1:10" hidden="1" x14ac:dyDescent="0.2">
      <c r="A176" s="399"/>
      <c r="B176" s="399"/>
      <c r="C176" s="399"/>
      <c r="D176" s="399"/>
      <c r="E176" s="399"/>
      <c r="F176" s="399"/>
      <c r="G176" s="399"/>
      <c r="H176" s="399"/>
      <c r="I176" s="399"/>
      <c r="J176" s="399"/>
    </row>
    <row r="177" spans="1:10" hidden="1" x14ac:dyDescent="0.2">
      <c r="A177" s="399"/>
      <c r="B177" s="399"/>
      <c r="C177" s="399"/>
      <c r="D177" s="399"/>
      <c r="E177" s="399"/>
      <c r="F177" s="399"/>
      <c r="G177" s="399"/>
      <c r="H177" s="399"/>
      <c r="I177" s="399"/>
      <c r="J177" s="399"/>
    </row>
    <row r="178" spans="1:10" hidden="1" x14ac:dyDescent="0.2">
      <c r="A178" s="399"/>
      <c r="B178" s="399"/>
      <c r="C178" s="399"/>
      <c r="D178" s="399"/>
      <c r="E178" s="399"/>
      <c r="F178" s="399"/>
      <c r="G178" s="399"/>
      <c r="H178" s="399"/>
      <c r="I178" s="399"/>
      <c r="J178" s="399"/>
    </row>
    <row r="179" spans="1:10" hidden="1" x14ac:dyDescent="0.2">
      <c r="A179" s="399"/>
      <c r="B179" s="399"/>
      <c r="C179" s="399"/>
      <c r="D179" s="399"/>
      <c r="E179" s="399"/>
      <c r="F179" s="399"/>
      <c r="G179" s="399"/>
      <c r="H179" s="399"/>
      <c r="I179" s="399"/>
      <c r="J179" s="399"/>
    </row>
    <row r="180" spans="1:10" hidden="1" x14ac:dyDescent="0.2">
      <c r="A180" s="399"/>
      <c r="B180" s="399"/>
      <c r="C180" s="399"/>
      <c r="D180" s="399"/>
      <c r="E180" s="399"/>
      <c r="F180" s="399"/>
      <c r="G180" s="399"/>
      <c r="H180" s="399"/>
      <c r="I180" s="399"/>
      <c r="J180" s="399"/>
    </row>
    <row r="181" spans="1:10" hidden="1" x14ac:dyDescent="0.2">
      <c r="A181" s="399"/>
      <c r="B181" s="399"/>
      <c r="C181" s="399"/>
      <c r="D181" s="399"/>
      <c r="E181" s="399"/>
      <c r="F181" s="399"/>
      <c r="G181" s="399"/>
      <c r="H181" s="399"/>
      <c r="I181" s="399"/>
      <c r="J181" s="399"/>
    </row>
    <row r="182" spans="1:10" hidden="1" x14ac:dyDescent="0.2">
      <c r="A182" s="399"/>
      <c r="B182" s="399"/>
      <c r="C182" s="399"/>
      <c r="D182" s="399"/>
      <c r="E182" s="399"/>
      <c r="F182" s="399"/>
      <c r="G182" s="399"/>
      <c r="H182" s="399"/>
      <c r="I182" s="399"/>
      <c r="J182" s="399"/>
    </row>
    <row r="183" spans="1:10" hidden="1" x14ac:dyDescent="0.2">
      <c r="A183" s="399"/>
      <c r="B183" s="399"/>
      <c r="C183" s="399"/>
      <c r="D183" s="399"/>
      <c r="E183" s="399"/>
      <c r="F183" s="399"/>
      <c r="G183" s="399"/>
      <c r="H183" s="399"/>
      <c r="I183" s="399"/>
      <c r="J183" s="399"/>
    </row>
    <row r="184" spans="1:10" hidden="1" x14ac:dyDescent="0.2">
      <c r="A184" s="399"/>
      <c r="B184" s="399"/>
      <c r="C184" s="399"/>
      <c r="D184" s="399"/>
      <c r="E184" s="399"/>
      <c r="F184" s="399"/>
      <c r="G184" s="399"/>
      <c r="H184" s="399"/>
      <c r="I184" s="399"/>
      <c r="J184" s="399"/>
    </row>
    <row r="185" spans="1:10" hidden="1" x14ac:dyDescent="0.2">
      <c r="A185" s="399"/>
      <c r="B185" s="399"/>
      <c r="C185" s="399"/>
      <c r="D185" s="399"/>
      <c r="E185" s="399"/>
      <c r="F185" s="399"/>
      <c r="G185" s="399"/>
      <c r="H185" s="399"/>
      <c r="I185" s="399"/>
      <c r="J185" s="399"/>
    </row>
    <row r="186" spans="1:10" hidden="1" x14ac:dyDescent="0.2">
      <c r="A186" s="399"/>
      <c r="B186" s="399"/>
      <c r="C186" s="399"/>
      <c r="D186" s="399"/>
      <c r="E186" s="399"/>
      <c r="F186" s="399"/>
      <c r="G186" s="399"/>
      <c r="H186" s="399"/>
      <c r="I186" s="399"/>
      <c r="J186" s="399"/>
    </row>
    <row r="187" spans="1:10" hidden="1" x14ac:dyDescent="0.2">
      <c r="A187" s="399"/>
      <c r="B187" s="399"/>
      <c r="C187" s="399"/>
      <c r="D187" s="399"/>
      <c r="E187" s="399"/>
      <c r="F187" s="399"/>
      <c r="G187" s="399"/>
      <c r="H187" s="399"/>
      <c r="I187" s="399"/>
      <c r="J187" s="399"/>
    </row>
    <row r="188" spans="1:10" hidden="1" x14ac:dyDescent="0.2">
      <c r="A188" s="399"/>
      <c r="B188" s="399"/>
      <c r="C188" s="399"/>
      <c r="D188" s="399"/>
      <c r="E188" s="399"/>
      <c r="F188" s="399"/>
      <c r="G188" s="399"/>
      <c r="H188" s="399"/>
      <c r="I188" s="399"/>
      <c r="J188" s="399"/>
    </row>
    <row r="189" spans="1:10" hidden="1" x14ac:dyDescent="0.2">
      <c r="A189" s="399"/>
      <c r="B189" s="399"/>
      <c r="C189" s="399"/>
      <c r="D189" s="399"/>
      <c r="E189" s="399"/>
      <c r="F189" s="399"/>
      <c r="G189" s="399"/>
      <c r="H189" s="399"/>
      <c r="I189" s="399"/>
      <c r="J189" s="399"/>
    </row>
    <row r="190" spans="1:10" hidden="1" x14ac:dyDescent="0.2">
      <c r="A190" s="399"/>
      <c r="B190" s="399"/>
      <c r="C190" s="399"/>
      <c r="D190" s="399"/>
      <c r="E190" s="399"/>
      <c r="F190" s="399"/>
      <c r="G190" s="399"/>
      <c r="H190" s="399"/>
      <c r="I190" s="399"/>
      <c r="J190" s="399"/>
    </row>
    <row r="191" spans="1:10" hidden="1" x14ac:dyDescent="0.2">
      <c r="A191" s="399"/>
      <c r="B191" s="399"/>
      <c r="C191" s="399"/>
      <c r="D191" s="399"/>
      <c r="E191" s="399"/>
      <c r="F191" s="399"/>
      <c r="G191" s="399"/>
      <c r="H191" s="399"/>
      <c r="I191" s="399"/>
      <c r="J191" s="399"/>
    </row>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403"/>
      <c r="B299" s="403"/>
      <c r="C299" s="397" t="s">
        <v>69</v>
      </c>
    </row>
    <row r="300" spans="1:3" x14ac:dyDescent="0.2">
      <c r="A300" s="449">
        <v>1</v>
      </c>
      <c r="B300" s="450" t="s">
        <v>465</v>
      </c>
      <c r="C300" s="981">
        <v>40</v>
      </c>
    </row>
    <row r="301" spans="1:3" x14ac:dyDescent="0.2">
      <c r="A301" s="449">
        <v>2</v>
      </c>
      <c r="B301" s="450" t="s">
        <v>256</v>
      </c>
      <c r="C301" s="981">
        <v>34</v>
      </c>
    </row>
    <row r="302" spans="1:3" x14ac:dyDescent="0.2">
      <c r="A302" s="449">
        <v>3</v>
      </c>
      <c r="B302" s="450" t="s">
        <v>258</v>
      </c>
      <c r="C302" s="981">
        <v>30</v>
      </c>
    </row>
    <row r="303" spans="1:3" x14ac:dyDescent="0.2">
      <c r="A303" s="449">
        <v>4</v>
      </c>
      <c r="B303" s="450" t="s">
        <v>254</v>
      </c>
      <c r="C303" s="981">
        <v>26</v>
      </c>
    </row>
    <row r="304" spans="1:3" x14ac:dyDescent="0.2">
      <c r="A304" s="449">
        <v>5</v>
      </c>
      <c r="B304" s="450" t="s">
        <v>255</v>
      </c>
      <c r="C304" s="981">
        <v>24</v>
      </c>
    </row>
    <row r="305" spans="1:3" x14ac:dyDescent="0.2">
      <c r="A305" s="449">
        <v>6</v>
      </c>
      <c r="B305" s="450" t="s">
        <v>251</v>
      </c>
      <c r="C305" s="981">
        <v>22</v>
      </c>
    </row>
    <row r="306" spans="1:3" x14ac:dyDescent="0.2">
      <c r="A306" s="449">
        <v>7</v>
      </c>
      <c r="B306" s="450" t="s">
        <v>338</v>
      </c>
      <c r="C306" s="981">
        <v>20</v>
      </c>
    </row>
    <row r="307" spans="1:3" x14ac:dyDescent="0.2">
      <c r="A307" s="449">
        <v>8</v>
      </c>
      <c r="B307" s="450" t="s">
        <v>268</v>
      </c>
      <c r="C307" s="981">
        <v>18</v>
      </c>
    </row>
    <row r="308" spans="1:3" x14ac:dyDescent="0.2">
      <c r="A308" s="449">
        <v>9</v>
      </c>
      <c r="B308" s="450" t="s">
        <v>250</v>
      </c>
      <c r="C308" s="981">
        <v>16</v>
      </c>
    </row>
    <row r="309" spans="1:3" x14ac:dyDescent="0.2">
      <c r="A309" s="449">
        <v>10</v>
      </c>
      <c r="B309" s="450" t="s">
        <v>466</v>
      </c>
      <c r="C309" s="981">
        <v>14</v>
      </c>
    </row>
    <row r="310" spans="1:3" x14ac:dyDescent="0.2">
      <c r="A310" s="449">
        <v>11</v>
      </c>
      <c r="B310" s="450" t="s">
        <v>467</v>
      </c>
      <c r="C310" s="981">
        <v>12</v>
      </c>
    </row>
    <row r="311" spans="1:3" x14ac:dyDescent="0.2">
      <c r="A311" s="449">
        <v>12</v>
      </c>
      <c r="B311" s="450" t="s">
        <v>260</v>
      </c>
      <c r="C311" s="981">
        <v>10</v>
      </c>
    </row>
    <row r="312" spans="1:3" x14ac:dyDescent="0.2">
      <c r="A312" s="449">
        <v>13</v>
      </c>
      <c r="B312" s="450" t="s">
        <v>468</v>
      </c>
      <c r="C312" s="981">
        <v>8</v>
      </c>
    </row>
    <row r="313" spans="1:3" x14ac:dyDescent="0.2">
      <c r="A313" s="449">
        <v>14</v>
      </c>
      <c r="B313" s="450" t="s">
        <v>257</v>
      </c>
      <c r="C313" s="981">
        <v>6</v>
      </c>
    </row>
    <row r="314" spans="1:3" x14ac:dyDescent="0.2">
      <c r="A314" s="449">
        <v>15</v>
      </c>
      <c r="B314" s="977" t="s">
        <v>280</v>
      </c>
      <c r="C314" s="981">
        <v>4</v>
      </c>
    </row>
  </sheetData>
  <conditionalFormatting sqref="D7 C8">
    <cfRule type="aboveAverage" dxfId="2476" priority="240"/>
  </conditionalFormatting>
  <conditionalFormatting sqref="E7 C9">
    <cfRule type="aboveAverage" dxfId="2475" priority="239"/>
  </conditionalFormatting>
  <conditionalFormatting sqref="F7 C10">
    <cfRule type="aboveAverage" dxfId="2474" priority="238"/>
  </conditionalFormatting>
  <conditionalFormatting sqref="E8 D9">
    <cfRule type="aboveAverage" dxfId="2473" priority="237"/>
  </conditionalFormatting>
  <conditionalFormatting sqref="G7 C11">
    <cfRule type="aboveAverage" dxfId="2472" priority="236"/>
  </conditionalFormatting>
  <conditionalFormatting sqref="F8 D10">
    <cfRule type="aboveAverage" dxfId="2471" priority="235"/>
  </conditionalFormatting>
  <conditionalFormatting sqref="G8 D11">
    <cfRule type="aboveAverage" dxfId="2470" priority="234"/>
  </conditionalFormatting>
  <conditionalFormatting sqref="F9 E10">
    <cfRule type="aboveAverage" dxfId="2469" priority="233"/>
  </conditionalFormatting>
  <conditionalFormatting sqref="G9 E11">
    <cfRule type="aboveAverage" dxfId="2468" priority="232"/>
  </conditionalFormatting>
  <conditionalFormatting sqref="F11 G10">
    <cfRule type="aboveAverage" dxfId="2467" priority="231"/>
  </conditionalFormatting>
  <conditionalFormatting sqref="D14 C15">
    <cfRule type="aboveAverage" dxfId="2466" priority="230"/>
  </conditionalFormatting>
  <conditionalFormatting sqref="E14 C16">
    <cfRule type="aboveAverage" dxfId="2465" priority="229"/>
  </conditionalFormatting>
  <conditionalFormatting sqref="F14 C17">
    <cfRule type="aboveAverage" dxfId="2464" priority="228"/>
  </conditionalFormatting>
  <conditionalFormatting sqref="E15 D16">
    <cfRule type="aboveAverage" dxfId="2463" priority="227"/>
  </conditionalFormatting>
  <conditionalFormatting sqref="G14 C18">
    <cfRule type="aboveAverage" dxfId="2462" priority="226"/>
  </conditionalFormatting>
  <conditionalFormatting sqref="F15 D17">
    <cfRule type="aboveAverage" dxfId="2461" priority="225"/>
  </conditionalFormatting>
  <conditionalFormatting sqref="G15 D18">
    <cfRule type="aboveAverage" dxfId="2460" priority="224"/>
  </conditionalFormatting>
  <conditionalFormatting sqref="F16 E17">
    <cfRule type="aboveAverage" dxfId="2459" priority="223"/>
  </conditionalFormatting>
  <conditionalFormatting sqref="G16 E18">
    <cfRule type="aboveAverage" dxfId="2458" priority="222"/>
  </conditionalFormatting>
  <conditionalFormatting sqref="F18 G17">
    <cfRule type="aboveAverage" dxfId="2457" priority="221"/>
  </conditionalFormatting>
  <conditionalFormatting sqref="D21 C22">
    <cfRule type="aboveAverage" dxfId="2456" priority="220"/>
  </conditionalFormatting>
  <conditionalFormatting sqref="E21 C23">
    <cfRule type="aboveAverage" dxfId="2455" priority="219"/>
  </conditionalFormatting>
  <conditionalFormatting sqref="F21 C24">
    <cfRule type="aboveAverage" dxfId="2454" priority="218"/>
  </conditionalFormatting>
  <conditionalFormatting sqref="E22 D23">
    <cfRule type="aboveAverage" dxfId="2453" priority="217"/>
  </conditionalFormatting>
  <conditionalFormatting sqref="G21 C25">
    <cfRule type="aboveAverage" dxfId="2452" priority="216"/>
  </conditionalFormatting>
  <conditionalFormatting sqref="F22 D24">
    <cfRule type="aboveAverage" dxfId="2451" priority="215"/>
  </conditionalFormatting>
  <conditionalFormatting sqref="G22 D25">
    <cfRule type="aboveAverage" dxfId="2450" priority="214"/>
  </conditionalFormatting>
  <conditionalFormatting sqref="F23 E24">
    <cfRule type="aboveAverage" dxfId="2449" priority="213"/>
  </conditionalFormatting>
  <conditionalFormatting sqref="G23 E25">
    <cfRule type="aboveAverage" dxfId="2448" priority="212"/>
  </conditionalFormatting>
  <conditionalFormatting sqref="F25 G24">
    <cfRule type="aboveAverage" dxfId="2447" priority="211"/>
  </conditionalFormatting>
  <conditionalFormatting sqref="D28 C29">
    <cfRule type="aboveAverage" dxfId="2446" priority="210"/>
  </conditionalFormatting>
  <conditionalFormatting sqref="E28 C30">
    <cfRule type="aboveAverage" dxfId="2445" priority="209"/>
  </conditionalFormatting>
  <conditionalFormatting sqref="F28 C31">
    <cfRule type="aboveAverage" dxfId="2444" priority="208"/>
  </conditionalFormatting>
  <conditionalFormatting sqref="E29 D30">
    <cfRule type="aboveAverage" dxfId="2443" priority="207"/>
  </conditionalFormatting>
  <conditionalFormatting sqref="G28 C32">
    <cfRule type="aboveAverage" dxfId="2442" priority="206"/>
  </conditionalFormatting>
  <conditionalFormatting sqref="F29 D31">
    <cfRule type="aboveAverage" dxfId="2441" priority="205"/>
  </conditionalFormatting>
  <conditionalFormatting sqref="G29 D32">
    <cfRule type="aboveAverage" dxfId="2440" priority="204"/>
  </conditionalFormatting>
  <conditionalFormatting sqref="F30 E31">
    <cfRule type="aboveAverage" dxfId="2439" priority="203"/>
  </conditionalFormatting>
  <conditionalFormatting sqref="G30 E32">
    <cfRule type="aboveAverage" dxfId="2438" priority="202"/>
  </conditionalFormatting>
  <conditionalFormatting sqref="F32 G31">
    <cfRule type="aboveAverage" dxfId="2437" priority="201"/>
  </conditionalFormatting>
  <conditionalFormatting sqref="I28:I32">
    <cfRule type="expression" dxfId="2436" priority="195">
      <formula>FIND(2,I28,1)</formula>
    </cfRule>
    <cfRule type="expression" dxfId="2435" priority="196">
      <formula>FIND(1,I28,1)</formula>
    </cfRule>
  </conditionalFormatting>
  <conditionalFormatting sqref="I21:I25">
    <cfRule type="expression" dxfId="2434" priority="197">
      <formula>FIND(2,I21,1)</formula>
    </cfRule>
    <cfRule type="expression" dxfId="2433" priority="198">
      <formula>FIND(1,I21,1)</formula>
    </cfRule>
  </conditionalFormatting>
  <conditionalFormatting sqref="I7:I11">
    <cfRule type="expression" dxfId="2432" priority="199">
      <formula>FIND(2,I7,1)</formula>
    </cfRule>
    <cfRule type="expression" dxfId="2431" priority="200">
      <formula>FIND(1,I7,1)</formula>
    </cfRule>
  </conditionalFormatting>
  <conditionalFormatting sqref="H14:H18">
    <cfRule type="expression" dxfId="2430" priority="139">
      <formula>AND(Q14=4,IF(COUNTIF(Q$14:Q$18,"=4")&gt;=2,TRUE))</formula>
    </cfRule>
    <cfRule type="expression" dxfId="2429" priority="241">
      <formula>AND(Q14=3,IF(COUNTIF(Q$14:Q$18,"=3")&gt;=2,TRUE))</formula>
    </cfRule>
    <cfRule type="expression" dxfId="2428" priority="242">
      <formula>AND(Q14=2,IF(COUNTIF(Q$14:Q$18,"=2")&gt;=2,TRUE))</formula>
    </cfRule>
    <cfRule type="expression" dxfId="2427" priority="243">
      <formula>AND(Q14=1,IF(COUNTIF(Q$14:Q$18,"=1")&gt;=2,TRUE))</formula>
    </cfRule>
  </conditionalFormatting>
  <conditionalFormatting sqref="B7:B33">
    <cfRule type="duplicateValues" dxfId="2426" priority="194"/>
  </conditionalFormatting>
  <conditionalFormatting sqref="L7:L11">
    <cfRule type="expression" dxfId="2425" priority="177">
      <formula>K7=0</formula>
    </cfRule>
    <cfRule type="expression" dxfId="2424" priority="186">
      <formula>IF(COUNTIF(J$7:J$11,"=2")=2,TRUE)</formula>
    </cfRule>
    <cfRule type="expression" dxfId="2423" priority="187">
      <formula>IF(COUNTIF(J$7:J$11,"=1")=2,TRUE)</formula>
    </cfRule>
    <cfRule type="expression" dxfId="2422" priority="188">
      <formula>AND(IF(COUNTIF(Q$7:Q$11,"=1")=2,TRUE),IF(COUNTIF(Q$7:Q$11,"=2")=2,TRUE))</formula>
    </cfRule>
    <cfRule type="expression" dxfId="2421" priority="189">
      <formula>AND(Q7=4,IF(COUNTIF(Q$7:Q$11,"=4")=1,TRUE))</formula>
    </cfRule>
    <cfRule type="expression" dxfId="2420" priority="190">
      <formula>AND(Q7=3,IF(COUNTIF(Q$7:Q$11,"=3")=1,TRUE))</formula>
    </cfRule>
    <cfRule type="expression" dxfId="2419" priority="191">
      <formula>AND(Q7=2,IF(COUNTIF(Q$7:Q$11,"=2")=1,TRUE))</formula>
    </cfRule>
    <cfRule type="expression" dxfId="2418" priority="192">
      <formula>AND(Q7=1,IF(COUNTIF(Q$7:Q$11,"=1")=1,TRUE))</formula>
    </cfRule>
    <cfRule type="expression" dxfId="2417" priority="193">
      <formula>OR(Q7=0,Q7=5)</formula>
    </cfRule>
  </conditionalFormatting>
  <conditionalFormatting sqref="O7:O11">
    <cfRule type="expression" dxfId="2416" priority="185">
      <formula>OR(AND(J7=1,K7=1,L7=0,M7=1),AND(J7=2,K7=2,L7=0,M7=2))</formula>
    </cfRule>
  </conditionalFormatting>
  <conditionalFormatting sqref="M7:M11">
    <cfRule type="expression" dxfId="2415" priority="178">
      <formula>AND(L7&gt;0,IF(COUNTIF(L$7:L$11,L7)&gt;1,TRUE,FALSE))</formula>
    </cfRule>
    <cfRule type="expression" dxfId="2414" priority="179">
      <formula>AND(IF(COUNTIF(R$7:R$11,"=1")=2,TRUE),IF(COUNTIF(R$7:R$11,"=2")=2,TRUE))</formula>
    </cfRule>
    <cfRule type="expression" dxfId="2413" priority="180">
      <formula>AND(R7=4,IF(COUNTIF(R$7:R$11,"=4")=1,TRUE))</formula>
    </cfRule>
    <cfRule type="expression" dxfId="2412" priority="181">
      <formula>AND(R7=3,IF(COUNTIF(R$7:R$11,"=3")=1,TRUE))</formula>
    </cfRule>
    <cfRule type="expression" dxfId="2411" priority="182">
      <formula>AND(R7=2,IF(COUNTIF(R$7:R$11,"=2")=1,TRUE))</formula>
    </cfRule>
    <cfRule type="expression" dxfId="2410" priority="183">
      <formula>AND(R7=1,IF(COUNTIF(R$7:R$11,"=1")=1,TRUE))</formula>
    </cfRule>
    <cfRule type="expression" dxfId="2409" priority="184">
      <formula>OR(R7=0,R7=5)</formula>
    </cfRule>
  </conditionalFormatting>
  <conditionalFormatting sqref="J7:J11">
    <cfRule type="expression" dxfId="2408" priority="173">
      <formula>AND(Q7=4,IF(COUNTIF(Q$7:Q$11,"=4")&gt;=2,TRUE))</formula>
    </cfRule>
    <cfRule type="expression" dxfId="2407" priority="174">
      <formula>AND(Q7=3,IF(COUNTIF(Q$7:Q$11,"=3")&gt;=2,TRUE))</formula>
    </cfRule>
    <cfRule type="expression" dxfId="2406" priority="175">
      <formula>AND(Q7=2,IF(COUNTIF(Q$7:Q$11,"=2")&gt;=2,TRUE))</formula>
    </cfRule>
    <cfRule type="expression" dxfId="2405" priority="176">
      <formula>AND(Q7=1,IF(COUNTIF(Q$7:Q$11,"=1")&gt;=2,TRUE))</formula>
    </cfRule>
  </conditionalFormatting>
  <conditionalFormatting sqref="H7:H11">
    <cfRule type="expression" dxfId="2404" priority="140">
      <formula>AND(Q7=4,IF(COUNTIF(Q$7:Q$11,"=4")&gt;=2,TRUE))</formula>
    </cfRule>
    <cfRule type="expression" dxfId="2403" priority="244">
      <formula>AND(Q7=3,IF(COUNTIF(Q$7:Q$11,"=3")&gt;=2,TRUE))</formula>
    </cfRule>
    <cfRule type="expression" dxfId="2402" priority="245">
      <formula>AND(Q7=2,IF(COUNTIF(Q$7:Q$11,"=2")&gt;=2,TRUE))</formula>
    </cfRule>
    <cfRule type="expression" dxfId="2401" priority="246">
      <formula>AND(Q7=1,IF(COUNTIF(Q$7:Q$11,"=1")&gt;=2,TRUE))</formula>
    </cfRule>
  </conditionalFormatting>
  <conditionalFormatting sqref="K7:K11">
    <cfRule type="expression" dxfId="2400" priority="247">
      <formula>AND(J7&gt;0,IF(COUNTIF(J$7:J$11,"=1")=2,TRUE),IF(COUNTIF(J$7:J$11,"=2")=2,TRUE))</formula>
    </cfRule>
    <cfRule type="expression" dxfId="2399" priority="248">
      <formula>IF(COUNTIF(L$7:L$11,"=2")=2,TRUE)</formula>
    </cfRule>
    <cfRule type="expression" dxfId="2398" priority="249">
      <formula>IF(COUNTIF(L$7:L$11,"=1")=2,TRUE)</formula>
    </cfRule>
    <cfRule type="expression" dxfId="2397" priority="250">
      <formula>AND(IF(COUNTIF(R$7:R$11,"=1")=2,TRUE),IF(COUNTIF(S$7:S$11,"=2")=2,TRUE))</formula>
    </cfRule>
    <cfRule type="expression" dxfId="2396" priority="251">
      <formula>AND(R7=4,IF(COUNTIF(R$7:R$11,"=4")=1,TRUE))</formula>
    </cfRule>
    <cfRule type="expression" dxfId="2395" priority="252">
      <formula>AND(R7=3,IF(COUNTIF(R$7:R$11,"=3")=1,TRUE))</formula>
    </cfRule>
    <cfRule type="expression" dxfId="2394" priority="253">
      <formula>AND(R7=2,IF(COUNTIF(R$7:R$11,"=2")=1,TRUE))</formula>
    </cfRule>
    <cfRule type="expression" dxfId="2393" priority="254">
      <formula>AND(R7=1,IF(COUNTIF(R$7:R$11,"=1")=1,TRUE))</formula>
    </cfRule>
    <cfRule type="expression" dxfId="2392" priority="255">
      <formula>OR(R7=0,R7=5)</formula>
    </cfRule>
  </conditionalFormatting>
  <conditionalFormatting sqref="I14:I18">
    <cfRule type="expression" dxfId="2391" priority="162">
      <formula>FIND(2,I14,1)</formula>
    </cfRule>
    <cfRule type="expression" dxfId="2390" priority="163">
      <formula>FIND(1,I14,1)</formula>
    </cfRule>
  </conditionalFormatting>
  <conditionalFormatting sqref="L14:L18">
    <cfRule type="expression" dxfId="2389" priority="145">
      <formula>K14=0</formula>
    </cfRule>
    <cfRule type="expression" dxfId="2388" priority="154">
      <formula>IF(COUNTIF(J$14:J$18,"=2")=2,TRUE)</formula>
    </cfRule>
    <cfRule type="expression" dxfId="2387" priority="155">
      <formula>IF(COUNTIF(J$14:J$18,"=1")=2,TRUE)</formula>
    </cfRule>
    <cfRule type="expression" dxfId="2386" priority="156">
      <formula>AND(IF(COUNTIF(Q$14:Q$18,"=1")=2,TRUE),IF(COUNTIF(Q$14:Q$18,"=2")=2,TRUE))</formula>
    </cfRule>
    <cfRule type="expression" dxfId="2385" priority="157">
      <formula>AND(Q14=4,IF(COUNTIF(Q$14:Q$18,"=4")=1,TRUE))</formula>
    </cfRule>
    <cfRule type="expression" dxfId="2384" priority="158">
      <formula>AND(Q14=3,IF(COUNTIF(Q$14:Q$18,"=3")=1,TRUE))</formula>
    </cfRule>
    <cfRule type="expression" dxfId="2383" priority="159">
      <formula>AND(Q14=2,IF(COUNTIF(Q$14:Q$18,"=2")=1,TRUE))</formula>
    </cfRule>
    <cfRule type="expression" dxfId="2382" priority="160">
      <formula>AND(Q14=1,IF(COUNTIF(Q$14:Q$18,"=1")=1,TRUE))</formula>
    </cfRule>
    <cfRule type="expression" dxfId="2381" priority="161">
      <formula>OR(Q14=0,Q14=5)</formula>
    </cfRule>
  </conditionalFormatting>
  <conditionalFormatting sqref="O14:O18">
    <cfRule type="expression" dxfId="2380" priority="153">
      <formula>OR(AND(J14=1,K14=1,L14=0,M14=1),AND(J14=2,K14=2,L14=0,M14=2))</formula>
    </cfRule>
  </conditionalFormatting>
  <conditionalFormatting sqref="M14:M18">
    <cfRule type="expression" dxfId="2379" priority="146">
      <formula>AND(L14&gt;0,IF(COUNTIF(L$14:L$18,L14)&gt;1,TRUE,FALSE))</formula>
    </cfRule>
    <cfRule type="expression" dxfId="2378" priority="147">
      <formula>AND(IF(COUNTIF(R$14:R$18,"=1")=2,TRUE),IF(COUNTIF(R$14:R$18,"=2")=2,TRUE))</formula>
    </cfRule>
    <cfRule type="expression" dxfId="2377" priority="148">
      <formula>AND(R14=4,IF(COUNTIF(R$14:R$18,"=4")=1,TRUE))</formula>
    </cfRule>
    <cfRule type="expression" dxfId="2376" priority="149">
      <formula>AND(R14=3,IF(COUNTIF(R$14:R$18,"=3")=1,TRUE))</formula>
    </cfRule>
    <cfRule type="expression" dxfId="2375" priority="150">
      <formula>AND(R14=2,IF(COUNTIF(R$14:R$18,"=2")=1,TRUE))</formula>
    </cfRule>
    <cfRule type="expression" dxfId="2374" priority="151">
      <formula>AND(R14=1,IF(COUNTIF(R$14:R$18,"=1")=1,TRUE))</formula>
    </cfRule>
    <cfRule type="expression" dxfId="2373" priority="152">
      <formula>OR(R14=0,R14=5)</formula>
    </cfRule>
  </conditionalFormatting>
  <conditionalFormatting sqref="J14:J18">
    <cfRule type="expression" dxfId="2372" priority="141">
      <formula>AND(Q14=4,IF(COUNTIF(Q$14:Q$18,"=4")&gt;=2,TRUE))</formula>
    </cfRule>
    <cfRule type="expression" dxfId="2371" priority="142">
      <formula>AND(Q14=3,IF(COUNTIF(Q$14:Q$18,"=3")&gt;=2,TRUE))</formula>
    </cfRule>
    <cfRule type="expression" dxfId="2370" priority="143">
      <formula>AND(Q14=2,IF(COUNTIF(Q$14:Q$18,"=2")&gt;=2,TRUE))</formula>
    </cfRule>
    <cfRule type="expression" dxfId="2369" priority="144">
      <formula>AND(Q14=1,IF(COUNTIF(Q$14:Q$18,"=1")&gt;=2,TRUE))</formula>
    </cfRule>
  </conditionalFormatting>
  <conditionalFormatting sqref="K14:K18">
    <cfRule type="expression" dxfId="2368" priority="164">
      <formula>AND(J14&gt;0,IF(COUNTIF(J$14:J$18,"=1")=2,TRUE),IF(COUNTIF(J$14:J$18,"=2")=2,TRUE))</formula>
    </cfRule>
    <cfRule type="expression" dxfId="2367" priority="165">
      <formula>IF(COUNTIF(L$14:L$18,"=2")=2,TRUE)</formula>
    </cfRule>
    <cfRule type="expression" dxfId="2366" priority="166">
      <formula>IF(COUNTIF(L$14:L$18,"=1")=2,TRUE)</formula>
    </cfRule>
    <cfRule type="expression" dxfId="2365" priority="167">
      <formula>AND(IF(COUNTIF(R$14:R$18,"=1")=2,TRUE),IF(COUNTIF(S$14:S$18,"=2")=2,TRUE))</formula>
    </cfRule>
    <cfRule type="expression" dxfId="2364" priority="168">
      <formula>AND(R14=4,IF(COUNTIF(R$14:R$18,"=4")=1,TRUE))</formula>
    </cfRule>
    <cfRule type="expression" dxfId="2363" priority="169">
      <formula>AND(R14=3,IF(COUNTIF(R$14:R$18,"=3")=1,TRUE))</formula>
    </cfRule>
    <cfRule type="expression" dxfId="2362" priority="170">
      <formula>AND(R14=2,IF(COUNTIF(R$14:R$18,"=2")=1,TRUE))</formula>
    </cfRule>
    <cfRule type="expression" dxfId="2361" priority="171">
      <formula>AND(R14=1,IF(COUNTIF(R$14:R$18,"=1")=1,TRUE))</formula>
    </cfRule>
    <cfRule type="expression" dxfId="2360" priority="172">
      <formula>OR(R14=0,R14=5)</formula>
    </cfRule>
  </conditionalFormatting>
  <conditionalFormatting sqref="L21:L25">
    <cfRule type="expression" dxfId="2359" priority="113">
      <formula>K21=0</formula>
    </cfRule>
    <cfRule type="expression" dxfId="2358" priority="122">
      <formula>IF(COUNTIF(J$21:J$25,"=2")=2,TRUE)</formula>
    </cfRule>
    <cfRule type="expression" dxfId="2357" priority="123">
      <formula>IF(COUNTIF(J$21:J$25,"=1")=2,TRUE)</formula>
    </cfRule>
    <cfRule type="expression" dxfId="2356" priority="124">
      <formula>AND(IF(COUNTIF(Q$21:Q$25,"=1")=2,TRUE),IF(COUNTIF(Q$21:Q$25,"=2")=2,TRUE))</formula>
    </cfRule>
    <cfRule type="expression" dxfId="2355" priority="125">
      <formula>AND(Q21=4,IF(COUNTIF(Q$21:Q$25,"=4")=1,TRUE))</formula>
    </cfRule>
    <cfRule type="expression" dxfId="2354" priority="126">
      <formula>AND(Q21=3,IF(COUNTIF(Q$21:Q$25,"=3")=1,TRUE))</formula>
    </cfRule>
    <cfRule type="expression" dxfId="2353" priority="127">
      <formula>AND(Q21=2,IF(COUNTIF(Q$21:Q$25,"=2")=1,TRUE))</formula>
    </cfRule>
    <cfRule type="expression" dxfId="2352" priority="128">
      <formula>AND(Q21=1,IF(COUNTIF(Q$21:Q$25,"=1")=1,TRUE))</formula>
    </cfRule>
    <cfRule type="expression" dxfId="2351" priority="129">
      <formula>OR(Q21=0,Q21=5)</formula>
    </cfRule>
  </conditionalFormatting>
  <conditionalFormatting sqref="O21:O25">
    <cfRule type="expression" dxfId="2350" priority="121">
      <formula>OR(AND(J21=1,K21=1,L21=0,M21=1),AND(J21=2,K21=2,L21=0,M21=2))</formula>
    </cfRule>
  </conditionalFormatting>
  <conditionalFormatting sqref="M21:M25">
    <cfRule type="expression" dxfId="2349" priority="114">
      <formula>AND(L21&gt;0,IF(COUNTIF(L$21:L$25,L21)&gt;1,TRUE,FALSE))</formula>
    </cfRule>
    <cfRule type="expression" dxfId="2348" priority="115">
      <formula>AND(IF(COUNTIF(R$21:R$25,"=1")=2,TRUE),IF(COUNTIF(R$21:R$25,"=2")=2,TRUE))</formula>
    </cfRule>
    <cfRule type="expression" dxfId="2347" priority="116">
      <formula>AND(R21=4,IF(COUNTIF(R$21:R$25,"=4")=1,TRUE))</formula>
    </cfRule>
    <cfRule type="expression" dxfId="2346" priority="117">
      <formula>AND(R21=3,IF(COUNTIF(R$21:R$25,"=3")=1,TRUE))</formula>
    </cfRule>
    <cfRule type="expression" dxfId="2345" priority="118">
      <formula>AND(R21=2,IF(COUNTIF(R$21:R$25,"=2")=1,TRUE))</formula>
    </cfRule>
    <cfRule type="expression" dxfId="2344" priority="119">
      <formula>AND(R21=1,IF(COUNTIF(R$21:R$25,"=1")=1,TRUE))</formula>
    </cfRule>
    <cfRule type="expression" dxfId="2343" priority="120">
      <formula>OR(R21=0,R21=5)</formula>
    </cfRule>
  </conditionalFormatting>
  <conditionalFormatting sqref="J21:J25">
    <cfRule type="expression" dxfId="2342" priority="109">
      <formula>AND(Q21=4,IF(COUNTIF(Q$21:Q$25,"=4")&gt;=2,TRUE))</formula>
    </cfRule>
    <cfRule type="expression" dxfId="2341" priority="110">
      <formula>AND(Q21=3,IF(COUNTIF(Q$21:Q$25,"=3")&gt;=2,TRUE))</formula>
    </cfRule>
    <cfRule type="expression" dxfId="2340" priority="111">
      <formula>AND(Q21=2,IF(COUNTIF(Q$21:Q$25,"=2")&gt;=2,TRUE))</formula>
    </cfRule>
    <cfRule type="expression" dxfId="2339" priority="112">
      <formula>AND(Q21=1,IF(COUNTIF(Q$21:Q$25,"=1")&gt;=2,TRUE))</formula>
    </cfRule>
  </conditionalFormatting>
  <conditionalFormatting sqref="K21:K25">
    <cfRule type="expression" dxfId="2338" priority="130">
      <formula>AND(J21&gt;0,IF(COUNTIF(J$21:J$25,"=1")=2,TRUE),IF(COUNTIF(J$21:J$25,"=2")=2,TRUE))</formula>
    </cfRule>
    <cfRule type="expression" dxfId="2337" priority="131">
      <formula>IF(COUNTIF(L$21:L$25,"=2")=2,TRUE)</formula>
    </cfRule>
    <cfRule type="expression" dxfId="2336" priority="132">
      <formula>IF(COUNTIF(L$21:L$25,"=1")=2,TRUE)</formula>
    </cfRule>
    <cfRule type="expression" dxfId="2335" priority="133">
      <formula>AND(IF(COUNTIF(R$21:R$25,"=1")=2,TRUE),IF(COUNTIF(S$21:S$25,"=2")=2,TRUE))</formula>
    </cfRule>
    <cfRule type="expression" dxfId="2334" priority="134">
      <formula>AND(R21=4,IF(COUNTIF(R$21:R$25,"=4")=1,TRUE))</formula>
    </cfRule>
    <cfRule type="expression" dxfId="2333" priority="135">
      <formula>AND(R21=3,IF(COUNTIF(R$21:R$25,"=3")=1,TRUE))</formula>
    </cfRule>
    <cfRule type="expression" dxfId="2332" priority="136">
      <formula>AND(R21=2,IF(COUNTIF(R$21:R$25,"=2")=1,TRUE))</formula>
    </cfRule>
    <cfRule type="expression" dxfId="2331" priority="137">
      <formula>AND(R21=1,IF(COUNTIF(R$21:R$25,"=1")=1,TRUE))</formula>
    </cfRule>
    <cfRule type="expression" dxfId="2330" priority="138">
      <formula>OR(R21=0,R21=5)</formula>
    </cfRule>
  </conditionalFormatting>
  <conditionalFormatting sqref="H21:H25">
    <cfRule type="expression" dxfId="2329" priority="105">
      <formula>AND(Q21=4,IF(COUNTIF(Q$21:Q$25,"=4")&gt;=2,TRUE))</formula>
    </cfRule>
    <cfRule type="expression" dxfId="2328" priority="106">
      <formula>AND(Q21=3,IF(COUNTIF(Q$21:Q$25,"=3")&gt;=2,TRUE))</formula>
    </cfRule>
    <cfRule type="expression" dxfId="2327" priority="107">
      <formula>AND(Q21=2,IF(COUNTIF(Q$21:Q$25,"=2")&gt;=2,TRUE))</formula>
    </cfRule>
    <cfRule type="expression" dxfId="2326" priority="108">
      <formula>AND(Q21=1,IF(COUNTIF(Q$21:Q$25,"=1")&gt;=2,TRUE))</formula>
    </cfRule>
  </conditionalFormatting>
  <conditionalFormatting sqref="L28:L32">
    <cfRule type="expression" dxfId="2325" priority="79">
      <formula>K28=0</formula>
    </cfRule>
    <cfRule type="expression" dxfId="2324" priority="88">
      <formula>IF(COUNTIF(J$28:J$32,"=2")=2,TRUE)</formula>
    </cfRule>
    <cfRule type="expression" dxfId="2323" priority="89">
      <formula>IF(COUNTIF(J$28:J$32,"=1")=2,TRUE)</formula>
    </cfRule>
    <cfRule type="expression" dxfId="2322" priority="90">
      <formula>AND(IF(COUNTIF(Q$28:Q$32,"=1")=2,TRUE),IF(COUNTIF(Q$28:Q$32,"=2")=2,TRUE))</formula>
    </cfRule>
    <cfRule type="expression" dxfId="2321" priority="91">
      <formula>AND(Q28=4,IF(COUNTIF(Q$28:Q$32,"=4")=1,TRUE))</formula>
    </cfRule>
    <cfRule type="expression" dxfId="2320" priority="92">
      <formula>AND(Q28=3,IF(COUNTIF(Q$28:Q$32,"=3")=1,TRUE))</formula>
    </cfRule>
    <cfRule type="expression" dxfId="2319" priority="93">
      <formula>AND(Q28=2,IF(COUNTIF(Q$28:Q$32,"=2")=1,TRUE))</formula>
    </cfRule>
    <cfRule type="expression" dxfId="2318" priority="94">
      <formula>AND(Q28=1,IF(COUNTIF(Q$28:Q$32,"=1")=1,TRUE))</formula>
    </cfRule>
    <cfRule type="expression" dxfId="2317" priority="95">
      <formula>OR(Q28=0,Q28=5)</formula>
    </cfRule>
  </conditionalFormatting>
  <conditionalFormatting sqref="O28:O32">
    <cfRule type="expression" dxfId="2316" priority="87">
      <formula>OR(AND(J28=1,K28=1,L28=0,M28=1),AND(J28=2,K28=2,L28=0,M28=2))</formula>
    </cfRule>
  </conditionalFormatting>
  <conditionalFormatting sqref="M28:M32">
    <cfRule type="expression" dxfId="2315" priority="80">
      <formula>AND(L28&gt;0,IF(COUNTIF(L$28:L$32,L28)&gt;1,TRUE,FALSE))</formula>
    </cfRule>
    <cfRule type="expression" dxfId="2314" priority="81">
      <formula>AND(IF(COUNTIF(R$28:R$32,"=1")=2,TRUE),IF(COUNTIF(R$28:R$32,"=2")=2,TRUE))</formula>
    </cfRule>
    <cfRule type="expression" dxfId="2313" priority="82">
      <formula>AND(R28=4,IF(COUNTIF(R$28:R$32,"=4")=1,TRUE))</formula>
    </cfRule>
    <cfRule type="expression" dxfId="2312" priority="83">
      <formula>AND(R28=3,IF(COUNTIF(R$28:R$32,"=3")=1,TRUE))</formula>
    </cfRule>
    <cfRule type="expression" dxfId="2311" priority="84">
      <formula>AND(R28=2,IF(COUNTIF(R$28:R$32,"=2")=1,TRUE))</formula>
    </cfRule>
    <cfRule type="expression" dxfId="2310" priority="85">
      <formula>AND(R28=1,IF(COUNTIF(R$28:R$32,"=1")=1,TRUE))</formula>
    </cfRule>
    <cfRule type="expression" dxfId="2309" priority="86">
      <formula>OR(R28=0,R28=5)</formula>
    </cfRule>
  </conditionalFormatting>
  <conditionalFormatting sqref="J28:J32">
    <cfRule type="expression" dxfId="2308" priority="75">
      <formula>AND(Q28=4,IF(COUNTIF(Q$28:Q$32,"=4")&gt;=2,TRUE))</formula>
    </cfRule>
    <cfRule type="expression" dxfId="2307" priority="76">
      <formula>AND(Q28=3,IF(COUNTIF(Q$28:Q$32,"=3")&gt;=2,TRUE))</formula>
    </cfRule>
    <cfRule type="expression" dxfId="2306" priority="77">
      <formula>AND(Q28=2,IF(COUNTIF(Q$28:Q$32,"=2")&gt;=2,TRUE))</formula>
    </cfRule>
    <cfRule type="expression" dxfId="2305" priority="78">
      <formula>AND(Q28=1,IF(COUNTIF(Q$28:Q$32,"=1")&gt;=2,TRUE))</formula>
    </cfRule>
  </conditionalFormatting>
  <conditionalFormatting sqref="K28:K32">
    <cfRule type="expression" dxfId="2304" priority="96">
      <formula>AND(J28&gt;0,IF(COUNTIF(J$28:J$32,"=1")=2,TRUE),IF(COUNTIF(J$28:J$32,"=2")=2,TRUE))</formula>
    </cfRule>
    <cfRule type="expression" dxfId="2303" priority="97">
      <formula>IF(COUNTIF(L$28:L$32,"=2")=2,TRUE)</formula>
    </cfRule>
    <cfRule type="expression" dxfId="2302" priority="98">
      <formula>IF(COUNTIF(L$28:L$32,"=1")=2,TRUE)</formula>
    </cfRule>
    <cfRule type="expression" dxfId="2301" priority="99">
      <formula>AND(IF(COUNTIF(R$28:R$32,"=1")=2,TRUE),IF(COUNTIF(S$28:S$32,"=2")=2,TRUE))</formula>
    </cfRule>
    <cfRule type="expression" dxfId="2300" priority="100">
      <formula>AND(R28=4,IF(COUNTIF(R$28:R$32,"=4")=1,TRUE))</formula>
    </cfRule>
    <cfRule type="expression" dxfId="2299" priority="101">
      <formula>AND(R28=3,IF(COUNTIF(R$28:R$32,"=3")=1,TRUE))</formula>
    </cfRule>
    <cfRule type="expression" dxfId="2298" priority="102">
      <formula>AND(R28=2,IF(COUNTIF(R$28:R$32,"=2")=1,TRUE))</formula>
    </cfRule>
    <cfRule type="expression" dxfId="2297" priority="103">
      <formula>AND(R28=1,IF(COUNTIF(R$28:R$32,"=1")=1,TRUE))</formula>
    </cfRule>
    <cfRule type="expression" dxfId="2296" priority="104">
      <formula>OR(R28=0,R28=5)</formula>
    </cfRule>
  </conditionalFormatting>
  <conditionalFormatting sqref="H28:H32">
    <cfRule type="expression" dxfId="2295" priority="71">
      <formula>AND(Q28=4,IF(COUNTIF(Q$28:Q$32,"=4")&gt;=2,TRUE))</formula>
    </cfRule>
    <cfRule type="expression" dxfId="2294" priority="72">
      <formula>AND(Q28=3,IF(COUNTIF(Q$28:Q$32,"=3")&gt;=2,TRUE))</formula>
    </cfRule>
    <cfRule type="expression" dxfId="2293" priority="73">
      <formula>AND(Q28=2,IF(COUNTIF(Q$28:Q$32,"=2")&gt;=2,TRUE))</formula>
    </cfRule>
    <cfRule type="expression" dxfId="2292" priority="74">
      <formula>AND(Q28=1,IF(COUNTIF(Q$28:Q$32,"=1")&gt;=2,TRUE))</formula>
    </cfRule>
  </conditionalFormatting>
  <conditionalFormatting sqref="C102 C104">
    <cfRule type="aboveAverage" dxfId="2291" priority="70"/>
  </conditionalFormatting>
  <conditionalFormatting sqref="C102 C104">
    <cfRule type="containsBlanks" dxfId="2290" priority="69">
      <formula>LEN(TRIM(C102))=0</formula>
    </cfRule>
  </conditionalFormatting>
  <conditionalFormatting sqref="E103 E107">
    <cfRule type="containsBlanks" dxfId="2289" priority="67">
      <formula>LEN(TRIM(E103))=0</formula>
    </cfRule>
    <cfRule type="aboveAverage" dxfId="2288" priority="68"/>
  </conditionalFormatting>
  <conditionalFormatting sqref="E111 E115">
    <cfRule type="containsBlanks" dxfId="2287" priority="65">
      <formula>LEN(TRIM(E111))=0</formula>
    </cfRule>
    <cfRule type="aboveAverage" dxfId="2286" priority="66"/>
  </conditionalFormatting>
  <conditionalFormatting sqref="C106 C108">
    <cfRule type="aboveAverage" dxfId="2285" priority="64"/>
  </conditionalFormatting>
  <conditionalFormatting sqref="C106 C108">
    <cfRule type="containsBlanks" dxfId="2284" priority="63">
      <formula>LEN(TRIM(C106))=0</formula>
    </cfRule>
  </conditionalFormatting>
  <conditionalFormatting sqref="C110 C112">
    <cfRule type="aboveAverage" dxfId="2283" priority="62"/>
  </conditionalFormatting>
  <conditionalFormatting sqref="C110 C112">
    <cfRule type="containsBlanks" dxfId="2282" priority="61">
      <formula>LEN(TRIM(C110))=0</formula>
    </cfRule>
  </conditionalFormatting>
  <conditionalFormatting sqref="C114 C116">
    <cfRule type="aboveAverage" dxfId="2281" priority="60"/>
  </conditionalFormatting>
  <conditionalFormatting sqref="C114 C116">
    <cfRule type="containsBlanks" dxfId="2280" priority="59">
      <formula>LEN(TRIM(C114))=0</formula>
    </cfRule>
  </conditionalFormatting>
  <conditionalFormatting sqref="G117 G119">
    <cfRule type="aboveAverage" dxfId="2279" priority="58"/>
  </conditionalFormatting>
  <conditionalFormatting sqref="G117 G119">
    <cfRule type="containsBlanks" dxfId="2278" priority="57">
      <formula>LEN(TRIM(G117))=0</formula>
    </cfRule>
  </conditionalFormatting>
  <conditionalFormatting sqref="G105 G113">
    <cfRule type="containsBlanks" dxfId="2277" priority="55">
      <formula>LEN(TRIM(G105))=0</formula>
    </cfRule>
    <cfRule type="aboveAverage" dxfId="2276" priority="56"/>
  </conditionalFormatting>
  <conditionalFormatting sqref="G124 G128">
    <cfRule type="containsBlanks" dxfId="2275" priority="53">
      <formula>LEN(TRIM(G124))=0</formula>
    </cfRule>
    <cfRule type="aboveAverage" dxfId="2274" priority="54"/>
  </conditionalFormatting>
  <conditionalFormatting sqref="E123 E125">
    <cfRule type="aboveAverage" dxfId="2273" priority="52"/>
  </conditionalFormatting>
  <conditionalFormatting sqref="E123 E125">
    <cfRule type="containsBlanks" dxfId="2272" priority="51">
      <formula>LEN(TRIM(E123))=0</formula>
    </cfRule>
  </conditionalFormatting>
  <conditionalFormatting sqref="E127 E129">
    <cfRule type="aboveAverage" dxfId="2271" priority="50"/>
  </conditionalFormatting>
  <conditionalFormatting sqref="E127 E129">
    <cfRule type="containsBlanks" dxfId="2270" priority="49">
      <formula>LEN(TRIM(E127))=0</formula>
    </cfRule>
  </conditionalFormatting>
  <conditionalFormatting sqref="G131 G133">
    <cfRule type="aboveAverage" dxfId="2269" priority="48"/>
  </conditionalFormatting>
  <conditionalFormatting sqref="G131 G133">
    <cfRule type="containsBlanks" dxfId="2268" priority="47">
      <formula>LEN(TRIM(G131))=0</formula>
    </cfRule>
  </conditionalFormatting>
  <conditionalFormatting sqref="C140 C142">
    <cfRule type="aboveAverage" dxfId="2267" priority="46"/>
  </conditionalFormatting>
  <conditionalFormatting sqref="C140 C142">
    <cfRule type="containsBlanks" dxfId="2266" priority="45">
      <formula>LEN(TRIM(C140))=0</formula>
    </cfRule>
  </conditionalFormatting>
  <conditionalFormatting sqref="E141 E145">
    <cfRule type="containsBlanks" dxfId="2265" priority="43">
      <formula>LEN(TRIM(E141))=0</formula>
    </cfRule>
    <cfRule type="aboveAverage" dxfId="2264" priority="44"/>
  </conditionalFormatting>
  <conditionalFormatting sqref="E149 E153">
    <cfRule type="containsBlanks" dxfId="2263" priority="41">
      <formula>LEN(TRIM(E149))=0</formula>
    </cfRule>
    <cfRule type="aboveAverage" dxfId="2262" priority="42"/>
  </conditionalFormatting>
  <conditionalFormatting sqref="C144 C146">
    <cfRule type="aboveAverage" dxfId="2261" priority="40"/>
  </conditionalFormatting>
  <conditionalFormatting sqref="C144 C146">
    <cfRule type="containsBlanks" dxfId="2260" priority="39">
      <formula>LEN(TRIM(C144))=0</formula>
    </cfRule>
  </conditionalFormatting>
  <conditionalFormatting sqref="C148 C150">
    <cfRule type="aboveAverage" dxfId="2259" priority="38"/>
  </conditionalFormatting>
  <conditionalFormatting sqref="C148 C150">
    <cfRule type="containsBlanks" dxfId="2258" priority="37">
      <formula>LEN(TRIM(C148))=0</formula>
    </cfRule>
  </conditionalFormatting>
  <conditionalFormatting sqref="C152 C154">
    <cfRule type="aboveAverage" dxfId="2257" priority="36"/>
  </conditionalFormatting>
  <conditionalFormatting sqref="C152 C154">
    <cfRule type="containsBlanks" dxfId="2256" priority="35">
      <formula>LEN(TRIM(C152))=0</formula>
    </cfRule>
  </conditionalFormatting>
  <conditionalFormatting sqref="G155 G157">
    <cfRule type="aboveAverage" dxfId="2255" priority="34"/>
  </conditionalFormatting>
  <conditionalFormatting sqref="G155 G157">
    <cfRule type="containsBlanks" dxfId="2254" priority="33">
      <formula>LEN(TRIM(G155))=0</formula>
    </cfRule>
  </conditionalFormatting>
  <conditionalFormatting sqref="G143 G151">
    <cfRule type="containsBlanks" dxfId="2253" priority="31">
      <formula>LEN(TRIM(G143))=0</formula>
    </cfRule>
    <cfRule type="aboveAverage" dxfId="2252" priority="32"/>
  </conditionalFormatting>
  <conditionalFormatting sqref="G162 G166">
    <cfRule type="containsBlanks" dxfId="2251" priority="29">
      <formula>LEN(TRIM(G162))=0</formula>
    </cfRule>
    <cfRule type="aboveAverage" dxfId="2250" priority="30"/>
  </conditionalFormatting>
  <conditionalFormatting sqref="E161 E163">
    <cfRule type="aboveAverage" dxfId="2249" priority="28"/>
  </conditionalFormatting>
  <conditionalFormatting sqref="E161 E163">
    <cfRule type="containsBlanks" dxfId="2248" priority="27">
      <formula>LEN(TRIM(E161))=0</formula>
    </cfRule>
  </conditionalFormatting>
  <conditionalFormatting sqref="E165 E167">
    <cfRule type="aboveAverage" dxfId="2247" priority="26"/>
  </conditionalFormatting>
  <conditionalFormatting sqref="E165 E167">
    <cfRule type="containsBlanks" dxfId="2246" priority="25">
      <formula>LEN(TRIM(E165))=0</formula>
    </cfRule>
  </conditionalFormatting>
  <conditionalFormatting sqref="G169 G171">
    <cfRule type="aboveAverage" dxfId="2245" priority="24"/>
  </conditionalFormatting>
  <conditionalFormatting sqref="G169 G171">
    <cfRule type="containsBlanks" dxfId="2244" priority="23">
      <formula>LEN(TRIM(G169))=0</formula>
    </cfRule>
  </conditionalFormatting>
  <conditionalFormatting sqref="A300:A314">
    <cfRule type="duplicateValues" dxfId="2243" priority="256"/>
  </conditionalFormatting>
  <conditionalFormatting sqref="B300:B313">
    <cfRule type="expression" dxfId="2242" priority="257">
      <formula>A300=3</formula>
    </cfRule>
    <cfRule type="expression" dxfId="2241" priority="258">
      <formula>A300=2</formula>
    </cfRule>
    <cfRule type="expression" dxfId="2240" priority="259">
      <formula>A300=1</formula>
    </cfRule>
    <cfRule type="containsBlanks" dxfId="2239" priority="260">
      <formula>LEN(TRIM(B300))=0</formula>
    </cfRule>
    <cfRule type="duplicateValues" dxfId="2238" priority="261"/>
  </conditionalFormatting>
  <conditionalFormatting sqref="AJ6:AJ33">
    <cfRule type="expression" dxfId="2237" priority="5">
      <formula>AND(AI6="",FIND(",",AJ6))</formula>
    </cfRule>
    <cfRule type="expression" dxfId="2236" priority="7">
      <formula>AND(AI6="",COUNTIF(AJ6,"*,*")=0)</formula>
    </cfRule>
  </conditionalFormatting>
  <conditionalFormatting sqref="AH6:AH33">
    <cfRule type="expression" dxfId="2235" priority="8">
      <formula>AND(AG6="",FIND(",",AH6))</formula>
    </cfRule>
    <cfRule type="expression" dxfId="2234" priority="9">
      <formula>AND(AG6="",COUNTIF(AH6,"*,*")=0)</formula>
    </cfRule>
  </conditionalFormatting>
  <conditionalFormatting sqref="AL6:AL33">
    <cfRule type="expression" dxfId="2233" priority="10">
      <formula>AND(AK6="",FIND(",",AL6))</formula>
    </cfRule>
    <cfRule type="expression" dxfId="2232" priority="11">
      <formula>AND(AK6="",COUNTIF(AL6,"*,*")=0)</formula>
    </cfRule>
  </conditionalFormatting>
  <conditionalFormatting sqref="AF6:AF33">
    <cfRule type="expression" dxfId="2231" priority="6">
      <formula>AND(AE6="",COUNTIF(AF6,"*,*")=0)</formula>
    </cfRule>
  </conditionalFormatting>
  <conditionalFormatting sqref="AN6:AN33">
    <cfRule type="expression" dxfId="2230" priority="2">
      <formula>AND(AM6="",COUNTIF(AN6,"*,*")=0)</formula>
    </cfRule>
    <cfRule type="expression" dxfId="2229" priority="4">
      <formula>AND(AM6="",FIND(",",AN6))</formula>
    </cfRule>
  </conditionalFormatting>
  <conditionalFormatting sqref="AP6:AP33">
    <cfRule type="expression" dxfId="2228" priority="1">
      <formula>AND(AO6="",COUNTIF(AP6,"*,*")=0)</formula>
    </cfRule>
    <cfRule type="expression" dxfId="2227" priority="3">
      <formula>AND(AO6="",FIND(",",AP6))</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310"/>
  <sheetViews>
    <sheetView showGridLines="0" showRowColHeaders="0" zoomScaleNormal="100" workbookViewId="0">
      <pane ySplit="2" topLeftCell="A3" activePane="bottomLeft" state="frozen"/>
      <selection pane="bottomLeft" activeCell="A5" sqref="A5"/>
    </sheetView>
  </sheetViews>
  <sheetFormatPr defaultRowHeight="12.75" x14ac:dyDescent="0.2"/>
  <cols>
    <col min="1" max="1" width="3.28515625" customWidth="1"/>
    <col min="2" max="2" width="40.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 min="39" max="39" width="9.140625" hidden="1" customWidth="1"/>
    <col min="40" max="40" width="17.28515625" hidden="1" customWidth="1"/>
    <col min="41" max="41" width="9.140625" hidden="1" customWidth="1"/>
    <col min="42" max="42" width="13.85546875" hidden="1" customWidth="1"/>
  </cols>
  <sheetData>
    <row r="1" spans="1:42" x14ac:dyDescent="0.2">
      <c r="A1" s="462" t="str">
        <f>UPPER((Kalend!E13)&amp;" - "&amp;(Kalend!C13)&amp;" - "&amp;(Kalend!D13))</f>
        <v>5 - K-JÄRVE 18. KV 2. ETAPP - DUO</v>
      </c>
      <c r="B1" s="403"/>
      <c r="C1" s="404"/>
      <c r="D1" s="403"/>
      <c r="E1" s="403"/>
      <c r="F1" s="405"/>
      <c r="G1" s="405"/>
      <c r="H1" s="405"/>
      <c r="I1" s="405"/>
      <c r="J1" s="405"/>
      <c r="K1" s="405"/>
      <c r="L1" s="405"/>
      <c r="M1" s="405"/>
      <c r="N1" s="407"/>
      <c r="O1" s="403"/>
      <c r="P1" s="403"/>
      <c r="Q1" s="405"/>
      <c r="R1" s="405"/>
      <c r="S1" s="405"/>
      <c r="T1" s="406"/>
      <c r="U1" s="406"/>
      <c r="V1" s="406"/>
      <c r="W1" s="403"/>
      <c r="X1" s="408"/>
      <c r="Y1" s="403"/>
      <c r="Z1" s="403"/>
      <c r="AA1" s="403"/>
      <c r="AB1" s="403"/>
      <c r="AD1" s="176" t="s">
        <v>68</v>
      </c>
      <c r="AE1" s="536"/>
      <c r="AF1" s="536"/>
      <c r="AG1" s="536"/>
      <c r="AH1" s="536"/>
      <c r="AI1" s="536"/>
      <c r="AJ1" s="536"/>
      <c r="AK1" s="536"/>
      <c r="AL1" s="536"/>
      <c r="AM1" s="536"/>
      <c r="AN1" s="536"/>
      <c r="AO1" s="266"/>
      <c r="AP1" s="266"/>
    </row>
    <row r="2" spans="1:42" x14ac:dyDescent="0.2">
      <c r="A2" s="409" t="str">
        <f>"Toimumisaeg: "&amp;(Kalend!A13)&amp;" kell "&amp;(Kalend!B13)</f>
        <v>Toimumisaeg: N, 03.06.2021 kell 18:00</v>
      </c>
      <c r="B2" s="403"/>
      <c r="C2" s="403"/>
      <c r="D2" s="403"/>
      <c r="E2" s="403"/>
      <c r="F2" s="403"/>
      <c r="G2" s="403"/>
      <c r="H2" s="403"/>
      <c r="I2" s="403"/>
      <c r="J2" s="403"/>
      <c r="K2" s="403"/>
      <c r="L2" s="407"/>
      <c r="M2" s="407"/>
      <c r="N2" s="407"/>
      <c r="O2" s="403"/>
      <c r="P2" s="403"/>
      <c r="Q2" s="403"/>
      <c r="R2" s="403"/>
      <c r="S2" s="403"/>
      <c r="T2" s="407"/>
      <c r="U2" s="407"/>
      <c r="V2" s="407"/>
      <c r="W2" s="403"/>
      <c r="X2" s="403"/>
      <c r="Y2" s="403"/>
      <c r="Z2" s="403"/>
      <c r="AA2" s="403"/>
      <c r="AB2" s="403"/>
      <c r="AD2" s="409"/>
      <c r="AE2" s="409"/>
      <c r="AF2" s="409"/>
      <c r="AG2" s="409"/>
      <c r="AH2" s="409"/>
      <c r="AI2" s="585"/>
      <c r="AJ2" s="409"/>
      <c r="AK2" s="409"/>
      <c r="AL2" s="409"/>
      <c r="AM2" s="409"/>
      <c r="AN2" s="409"/>
    </row>
    <row r="3" spans="1:42" x14ac:dyDescent="0.2">
      <c r="A3" s="409" t="str">
        <f>"Toimumiskoht: "&amp;(Kalend!F13)</f>
        <v>Toimumiskoht: K-Järve spordihoone</v>
      </c>
      <c r="B3" s="403"/>
      <c r="C3" s="403"/>
      <c r="D3" s="403"/>
      <c r="E3" s="403"/>
      <c r="F3" s="403"/>
      <c r="G3" s="411"/>
      <c r="H3" s="411"/>
      <c r="I3" s="412" t="s">
        <v>228</v>
      </c>
      <c r="J3" s="413">
        <v>1</v>
      </c>
      <c r="K3" s="414" t="s">
        <v>229</v>
      </c>
      <c r="L3" s="407"/>
      <c r="M3" s="407"/>
      <c r="N3" s="407"/>
      <c r="O3" s="403"/>
      <c r="P3" s="403"/>
      <c r="Q3" s="403"/>
      <c r="R3" s="403"/>
      <c r="S3" s="403"/>
      <c r="T3" s="407"/>
      <c r="U3" s="407"/>
      <c r="V3" s="407"/>
      <c r="W3" s="403"/>
      <c r="X3" s="403"/>
      <c r="Y3" s="403"/>
      <c r="Z3" s="403"/>
      <c r="AA3" s="403"/>
      <c r="AB3" s="403"/>
      <c r="AD3" s="409"/>
      <c r="AF3" s="409"/>
      <c r="AG3" s="409"/>
      <c r="AH3" s="409"/>
      <c r="AI3" s="409"/>
      <c r="AJ3" s="409"/>
      <c r="AK3" s="409"/>
      <c r="AL3" s="409"/>
      <c r="AM3" s="409"/>
      <c r="AN3" s="409"/>
    </row>
    <row r="4" spans="1:42" x14ac:dyDescent="0.2">
      <c r="A4" s="409" t="str">
        <f>"Korraldaja: "&amp;(Kalend!G13)</f>
        <v>Korraldaja: Ivar Viljaste</v>
      </c>
      <c r="B4" s="403"/>
      <c r="C4" s="403"/>
      <c r="D4" s="403"/>
      <c r="E4" s="403"/>
      <c r="F4" s="403"/>
      <c r="G4" s="415"/>
      <c r="H4" s="415"/>
      <c r="I4" s="416" t="s">
        <v>230</v>
      </c>
      <c r="J4" s="413">
        <v>0.5</v>
      </c>
      <c r="K4" s="414" t="s">
        <v>229</v>
      </c>
      <c r="L4" s="403"/>
      <c r="M4" s="403"/>
      <c r="N4" s="403"/>
      <c r="O4" s="403"/>
      <c r="P4" s="403"/>
      <c r="Q4" s="403"/>
      <c r="R4" s="403"/>
      <c r="S4" s="403"/>
      <c r="T4" s="403"/>
      <c r="U4" s="403"/>
      <c r="V4" s="403"/>
      <c r="W4" s="403"/>
      <c r="X4" s="403"/>
      <c r="Y4" s="403"/>
      <c r="Z4" s="403"/>
      <c r="AA4" s="403"/>
      <c r="AB4" s="403"/>
      <c r="AD4" s="927" t="s">
        <v>231</v>
      </c>
    </row>
    <row r="5" spans="1:42" x14ac:dyDescent="0.2">
      <c r="A5" s="403"/>
      <c r="B5" s="403"/>
      <c r="C5" s="403"/>
      <c r="D5" s="403"/>
      <c r="E5" s="403"/>
      <c r="F5" s="403"/>
      <c r="G5" s="418"/>
      <c r="H5" s="418"/>
      <c r="I5" s="419" t="s">
        <v>232</v>
      </c>
      <c r="J5" s="413">
        <v>0</v>
      </c>
      <c r="K5" s="414" t="s">
        <v>229</v>
      </c>
      <c r="L5" s="403"/>
      <c r="M5" s="403"/>
      <c r="N5" s="403"/>
      <c r="O5" s="403"/>
      <c r="P5" s="403"/>
      <c r="Q5" s="403"/>
      <c r="R5" s="403"/>
      <c r="S5" s="403"/>
      <c r="T5" s="403"/>
      <c r="U5" s="403"/>
      <c r="V5" s="403"/>
      <c r="W5" s="403"/>
      <c r="X5" s="403"/>
      <c r="Y5" s="403"/>
      <c r="Z5" s="403"/>
      <c r="AA5" s="403"/>
      <c r="AB5" s="403"/>
      <c r="AC5" s="403"/>
      <c r="AD5" s="420" t="s">
        <v>445</v>
      </c>
      <c r="AE5" s="424"/>
      <c r="AF5" s="424" t="s">
        <v>234</v>
      </c>
      <c r="AG5" s="424"/>
      <c r="AH5" s="425" t="s">
        <v>235</v>
      </c>
      <c r="AI5" s="424"/>
      <c r="AJ5" s="424" t="s">
        <v>236</v>
      </c>
      <c r="AK5" s="426"/>
      <c r="AL5" s="424" t="s">
        <v>237</v>
      </c>
      <c r="AM5" s="426"/>
      <c r="AN5" s="426" t="s">
        <v>309</v>
      </c>
      <c r="AO5" s="928"/>
      <c r="AP5" s="426" t="s">
        <v>310</v>
      </c>
    </row>
    <row r="6" spans="1:42" x14ac:dyDescent="0.2">
      <c r="A6" s="403"/>
      <c r="B6" s="403"/>
      <c r="C6" s="403"/>
      <c r="D6" s="403"/>
      <c r="E6" s="403"/>
      <c r="F6" s="403"/>
      <c r="G6" s="403"/>
      <c r="H6" s="403"/>
      <c r="I6" s="403"/>
      <c r="J6" s="403"/>
      <c r="K6" s="403"/>
      <c r="L6" s="407"/>
      <c r="M6" s="407"/>
      <c r="N6" s="407"/>
      <c r="O6" s="403"/>
      <c r="P6" s="403"/>
      <c r="Q6" s="403"/>
      <c r="R6" s="403"/>
      <c r="S6" s="403"/>
      <c r="T6" s="407"/>
      <c r="U6" s="407"/>
      <c r="V6" s="407"/>
      <c r="W6" s="403"/>
      <c r="X6" s="403"/>
      <c r="Y6" s="403"/>
      <c r="Z6" s="403"/>
      <c r="AA6" s="403"/>
      <c r="AB6" s="403"/>
      <c r="AC6" s="403"/>
      <c r="AD6" s="458">
        <f>SUM(AE6:AP6)</f>
        <v>0</v>
      </c>
      <c r="AE6" s="459" t="str">
        <f>IFERROR(INDEX(Reit!$I:$I,MATCH(AF6,Reit!$F:$F,0)),"")</f>
        <v/>
      </c>
      <c r="AF6" s="460" t="str">
        <f>IFERROR(LEFT($B6,(FIND(",",$B6,1)-1)),"")</f>
        <v/>
      </c>
      <c r="AG6" s="459" t="str">
        <f>IFERROR(INDEX(Reit!$I:$I,MATCH(AH6,Reit!$F:$F,0)),"")</f>
        <v/>
      </c>
      <c r="AH6" s="460" t="str">
        <f>IFERROR(MID($B6,FIND(", ",$B6)+2,256),"")</f>
        <v/>
      </c>
      <c r="AI6" s="459" t="str">
        <f>IFERROR(INDEX(Reit!$I:$I,MATCH(AJ6,Reit!$F:$F,0)),"")</f>
        <v/>
      </c>
      <c r="AJ6" s="460" t="str">
        <f>IFERROR(MID($B6,FIND("^",SUBSTITUTE($B6,", ","^",1))+2,FIND("^",SUBSTITUTE($B6,", ","^",2))-FIND("^",SUBSTITUTE($B6,", ","^",1))-2),"")</f>
        <v/>
      </c>
      <c r="AK6" s="459" t="str">
        <f>IFERROR(INDEX(Reit!$I:$I,MATCH(AL6,Reit!$F:$F,0)),"")</f>
        <v/>
      </c>
      <c r="AL6" s="460" t="str">
        <f>IFERROR(MID($B6,FIND(", ",$B6,FIND(", ",$B6,FIND(", ",$B6))+1)+2,30000),"")</f>
        <v/>
      </c>
      <c r="AM6" s="459" t="str">
        <f>IFERROR(INDEX(Reit!$I:$I,MATCH(AN6,Reit!$F:$F,0)),"")</f>
        <v/>
      </c>
      <c r="AN6" s="460" t="str">
        <f>IFERROR(MID($B6,FIND(", ",$B6,FIND(", ",$B6)+1)+2,FIND(", ",$B6,FIND(", ",$B6,FIND(", ",$B6)+1)+1)-FIND(", ",$B6,FIND(", ",$B6)+1)-2),"")</f>
        <v/>
      </c>
      <c r="AO6" s="459" t="str">
        <f>IFERROR(INDEX(Reit!$I:$I,MATCH(AP6,Reit!$F:$F,0)),"")</f>
        <v/>
      </c>
      <c r="AP6" s="460" t="str">
        <f>IFERROR(MID($B6,FIND(", ",$B6,FIND(", ",$B6,FIND(", ",$B6)+1)+1)+2,30000),"")</f>
        <v/>
      </c>
    </row>
    <row r="7" spans="1:42" x14ac:dyDescent="0.2">
      <c r="A7" s="427" t="s">
        <v>94</v>
      </c>
      <c r="B7" s="427" t="s">
        <v>93</v>
      </c>
      <c r="C7" s="428" t="s">
        <v>238</v>
      </c>
      <c r="D7" s="429"/>
      <c r="E7" s="429"/>
      <c r="F7" s="430"/>
      <c r="G7" s="428" t="s">
        <v>239</v>
      </c>
      <c r="H7" s="429"/>
      <c r="I7" s="429"/>
      <c r="J7" s="430"/>
      <c r="K7" s="428" t="s">
        <v>240</v>
      </c>
      <c r="L7" s="429"/>
      <c r="M7" s="429"/>
      <c r="N7" s="430"/>
      <c r="O7" s="428" t="s">
        <v>241</v>
      </c>
      <c r="P7" s="429"/>
      <c r="Q7" s="429"/>
      <c r="R7" s="430"/>
      <c r="S7" s="428" t="s">
        <v>242</v>
      </c>
      <c r="T7" s="429"/>
      <c r="U7" s="429"/>
      <c r="V7" s="430"/>
      <c r="W7" s="427" t="s">
        <v>84</v>
      </c>
      <c r="X7" s="431" t="s">
        <v>243</v>
      </c>
      <c r="Y7" s="431"/>
      <c r="Z7" s="432" t="s">
        <v>244</v>
      </c>
      <c r="AA7" s="433"/>
      <c r="AB7" s="403"/>
      <c r="AD7" s="458">
        <f t="shared" ref="AD7:AD17" si="0">SUM(AE7:AL7)</f>
        <v>0</v>
      </c>
      <c r="AE7" s="459" t="str">
        <f>IFERROR(INDEX(Reit!$I:$I,MATCH(AF7,Reit!$F:$F,0)),"")</f>
        <v/>
      </c>
      <c r="AF7" s="460" t="str">
        <f t="shared" ref="AF7:AF18" si="1">IFERROR(LEFT($B7,(FIND(",",$B7,1)-1)),"")</f>
        <v/>
      </c>
      <c r="AG7" s="459" t="str">
        <f>IFERROR(INDEX(Reit!$I:$I,MATCH(AH7,Reit!$F:$F,0)),"")</f>
        <v/>
      </c>
      <c r="AH7" s="460" t="str">
        <f t="shared" ref="AH7:AH18" si="2">IFERROR(MID($B7,FIND(", ",$B7)+2,256),"")</f>
        <v/>
      </c>
      <c r="AI7" s="459" t="str">
        <f>IFERROR(INDEX(Reit!$I:$I,MATCH(AJ7,Reit!$F:$F,0)),"")</f>
        <v/>
      </c>
      <c r="AJ7" s="460" t="str">
        <f t="shared" ref="AJ7:AJ18" si="3">IFERROR(MID($B7,FIND("^",SUBSTITUTE($B7,", ","^",1))+2,FIND("^",SUBSTITUTE($B7,", ","^",2))-FIND("^",SUBSTITUTE($B7,", ","^",1))-2),"")</f>
        <v/>
      </c>
      <c r="AK7" s="459" t="str">
        <f>IFERROR(INDEX(Reit!$I:$I,MATCH(AL7,Reit!$F:$F,0)),"")</f>
        <v/>
      </c>
      <c r="AL7" s="460" t="str">
        <f t="shared" ref="AL7:AL18" si="4">IFERROR(MID($B7,FIND(", ",$B7,FIND(", ",$B7,FIND(", ",$B7))+1)+2,30000),"")</f>
        <v/>
      </c>
      <c r="AM7" s="459" t="str">
        <f>IFERROR(INDEX(Reit!$I:$I,MATCH(AN7,Reit!$F:$F,0)),"")</f>
        <v/>
      </c>
      <c r="AN7" s="460" t="str">
        <f t="shared" ref="AN7:AN18" si="5">IFERROR(MID($B7,FIND(", ",$B7,FIND(", ",$B7)+1)+2,FIND(", ",$B7,FIND(", ",$B7,FIND(", ",$B7)+1)+1)-FIND(", ",$B7,FIND(", ",$B7)+1)-2),"")</f>
        <v/>
      </c>
      <c r="AO7" s="459" t="str">
        <f>IFERROR(INDEX(Reit!$I:$I,MATCH(AP7,Reit!$F:$F,0)),"")</f>
        <v/>
      </c>
      <c r="AP7" s="460" t="str">
        <f t="shared" ref="AP7:AP18" si="6">IFERROR(MID($B7,FIND(", ",$B7,FIND(", ",$B7,FIND(", ",$B7)+1)+1)+2,30000),"")</f>
        <v/>
      </c>
    </row>
    <row r="8" spans="1:42" x14ac:dyDescent="0.2">
      <c r="A8" s="435">
        <v>1</v>
      </c>
      <c r="B8" s="436" t="s">
        <v>469</v>
      </c>
      <c r="C8" s="437"/>
      <c r="D8" s="438" t="s">
        <v>246</v>
      </c>
      <c r="E8" s="439"/>
      <c r="F8" s="440"/>
      <c r="G8" s="437"/>
      <c r="H8" s="438" t="s">
        <v>246</v>
      </c>
      <c r="I8" s="439"/>
      <c r="J8" s="440"/>
      <c r="K8" s="437"/>
      <c r="L8" s="438" t="s">
        <v>246</v>
      </c>
      <c r="M8" s="439"/>
      <c r="N8" s="440"/>
      <c r="O8" s="437"/>
      <c r="P8" s="438" t="s">
        <v>246</v>
      </c>
      <c r="Q8" s="439"/>
      <c r="R8" s="440"/>
      <c r="S8" s="437"/>
      <c r="T8" s="438" t="s">
        <v>246</v>
      </c>
      <c r="U8" s="439"/>
      <c r="V8" s="440"/>
      <c r="W8" s="441">
        <f>IF(C8&gt;E8,J$3,IF(C8&lt;E8,J$5,IF(ISNUMBER(C8),J$4,0)))+IF(G8&gt;I8,J$3,IF(G8&lt;I8,J$5,IF(ISNUMBER(G8),J$4,0)))+IF(K8&gt;M8,J$3,IF(K8&lt;M8,J$5,IF(ISNUMBER(K8),J$4,0)))+IF(O8&gt;Q8,J$3,IF(O8&lt;Q8,J$5,IF(ISNUMBER(O8),J$4,0)))+IF(S8&gt;U8,J$3,IF(S8&lt;U8,J$5,IF(ISNUMBER(S8),J$4,0)))</f>
        <v>0</v>
      </c>
      <c r="X8" s="442"/>
      <c r="Y8" s="437">
        <f>C8+G8+K8+O8+S8</f>
        <v>0</v>
      </c>
      <c r="Z8" s="438" t="s">
        <v>246</v>
      </c>
      <c r="AA8" s="443">
        <f>E8+I8+M8+Q8+U8</f>
        <v>0</v>
      </c>
      <c r="AB8" s="444">
        <f>Y8-AA8</f>
        <v>0</v>
      </c>
      <c r="AC8" s="445"/>
      <c r="AD8" s="458">
        <f t="shared" ca="1" si="0"/>
        <v>389</v>
      </c>
      <c r="AE8" s="459">
        <f ca="1">IFERROR(INDEX(Reit!$I:$I,MATCH(AF8,Reit!$F:$F,0)),"")</f>
        <v>273</v>
      </c>
      <c r="AF8" s="460" t="str">
        <f t="shared" si="1"/>
        <v>Kenneth Muusikus</v>
      </c>
      <c r="AG8" s="459">
        <f ca="1">IFERROR(INDEX(Reit!$I:$I,MATCH(AH8,Reit!$F:$F,0)),"")</f>
        <v>116</v>
      </c>
      <c r="AH8" s="460" t="str">
        <f t="shared" si="2"/>
        <v>Tõnis Neiland</v>
      </c>
      <c r="AI8" s="459" t="str">
        <f>IFERROR(INDEX(Reit!$I:$I,MATCH(AJ8,Reit!$F:$F,0)),"")</f>
        <v/>
      </c>
      <c r="AJ8" s="460" t="str">
        <f t="shared" si="3"/>
        <v/>
      </c>
      <c r="AK8" s="459" t="str">
        <f>IFERROR(INDEX(Reit!$I:$I,MATCH(AL8,Reit!$F:$F,0)),"")</f>
        <v/>
      </c>
      <c r="AL8" s="460" t="str">
        <f t="shared" si="4"/>
        <v/>
      </c>
      <c r="AM8" s="459" t="str">
        <f>IFERROR(INDEX(Reit!$I:$I,MATCH(AN8,Reit!$F:$F,0)),"")</f>
        <v/>
      </c>
      <c r="AN8" s="460" t="str">
        <f t="shared" si="5"/>
        <v/>
      </c>
      <c r="AO8" s="459" t="str">
        <f>IFERROR(INDEX(Reit!$I:$I,MATCH(AP8,Reit!$F:$F,0)),"")</f>
        <v/>
      </c>
      <c r="AP8" s="460" t="str">
        <f t="shared" si="6"/>
        <v/>
      </c>
    </row>
    <row r="9" spans="1:42" x14ac:dyDescent="0.2">
      <c r="A9" s="435">
        <v>2</v>
      </c>
      <c r="B9" s="436" t="s">
        <v>269</v>
      </c>
      <c r="C9" s="437"/>
      <c r="D9" s="438" t="s">
        <v>246</v>
      </c>
      <c r="E9" s="439"/>
      <c r="F9" s="440"/>
      <c r="G9" s="437"/>
      <c r="H9" s="438" t="s">
        <v>246</v>
      </c>
      <c r="I9" s="439"/>
      <c r="J9" s="440"/>
      <c r="K9" s="437"/>
      <c r="L9" s="438" t="s">
        <v>246</v>
      </c>
      <c r="M9" s="439"/>
      <c r="N9" s="440"/>
      <c r="O9" s="437"/>
      <c r="P9" s="438" t="s">
        <v>246</v>
      </c>
      <c r="Q9" s="439"/>
      <c r="R9" s="440"/>
      <c r="S9" s="437"/>
      <c r="T9" s="438" t="s">
        <v>246</v>
      </c>
      <c r="U9" s="439"/>
      <c r="V9" s="440"/>
      <c r="W9" s="441">
        <f t="shared" ref="W9:W18" si="7">IF(C9&gt;E9,J$3,IF(C9&lt;E9,J$5,IF(ISNUMBER(C9),J$4,0)))+IF(G9&gt;I9,J$3,IF(G9&lt;I9,J$5,IF(ISNUMBER(G9),J$4,0)))+IF(K9&gt;M9,J$3,IF(K9&lt;M9,J$5,IF(ISNUMBER(K9),J$4,0)))+IF(O9&gt;Q9,J$3,IF(O9&lt;Q9,J$5,IF(ISNUMBER(O9),J$4,0)))+IF(S9&gt;U9,J$3,IF(S9&lt;U9,J$5,IF(ISNUMBER(S9),J$4,0)))</f>
        <v>0</v>
      </c>
      <c r="X9" s="442"/>
      <c r="Y9" s="437">
        <f t="shared" ref="Y9:Y18" si="8">C9+G9+K9+O9+S9</f>
        <v>0</v>
      </c>
      <c r="Z9" s="438" t="s">
        <v>246</v>
      </c>
      <c r="AA9" s="443">
        <f t="shared" ref="AA9:AA18" si="9">E9+I9+M9+Q9+U9</f>
        <v>0</v>
      </c>
      <c r="AB9" s="444">
        <f t="shared" ref="AB9:AB18" si="10">Y9-AA9</f>
        <v>0</v>
      </c>
      <c r="AC9" s="445"/>
      <c r="AD9" s="458">
        <f t="shared" ca="1" si="0"/>
        <v>474</v>
      </c>
      <c r="AE9" s="459">
        <f ca="1">IFERROR(INDEX(Reit!$I:$I,MATCH(AF9,Reit!$F:$F,0)),"")</f>
        <v>272</v>
      </c>
      <c r="AF9" s="460" t="str">
        <f t="shared" si="1"/>
        <v>Ivar Viljaste</v>
      </c>
      <c r="AG9" s="459">
        <f ca="1">IFERROR(INDEX(Reit!$I:$I,MATCH(AH9,Reit!$F:$F,0)),"")</f>
        <v>202</v>
      </c>
      <c r="AH9" s="460" t="str">
        <f t="shared" si="2"/>
        <v>Kristo Viljaste</v>
      </c>
      <c r="AI9" s="459" t="str">
        <f>IFERROR(INDEX(Reit!$I:$I,MATCH(AJ9,Reit!$F:$F,0)),"")</f>
        <v/>
      </c>
      <c r="AJ9" s="460" t="str">
        <f t="shared" si="3"/>
        <v/>
      </c>
      <c r="AK9" s="459" t="str">
        <f>IFERROR(INDEX(Reit!$I:$I,MATCH(AL9,Reit!$F:$F,0)),"")</f>
        <v/>
      </c>
      <c r="AL9" s="460" t="str">
        <f t="shared" si="4"/>
        <v/>
      </c>
      <c r="AM9" s="459" t="str">
        <f>IFERROR(INDEX(Reit!$I:$I,MATCH(AN9,Reit!$F:$F,0)),"")</f>
        <v/>
      </c>
      <c r="AN9" s="460" t="str">
        <f t="shared" si="5"/>
        <v/>
      </c>
      <c r="AO9" s="459" t="str">
        <f>IFERROR(INDEX(Reit!$I:$I,MATCH(AP9,Reit!$F:$F,0)),"")</f>
        <v/>
      </c>
      <c r="AP9" s="460" t="str">
        <f t="shared" si="6"/>
        <v/>
      </c>
    </row>
    <row r="10" spans="1:42" x14ac:dyDescent="0.2">
      <c r="A10" s="435">
        <v>3</v>
      </c>
      <c r="B10" s="436" t="s">
        <v>470</v>
      </c>
      <c r="C10" s="437"/>
      <c r="D10" s="438" t="s">
        <v>246</v>
      </c>
      <c r="E10" s="439"/>
      <c r="F10" s="440"/>
      <c r="G10" s="437"/>
      <c r="H10" s="438" t="s">
        <v>246</v>
      </c>
      <c r="I10" s="439"/>
      <c r="J10" s="440"/>
      <c r="K10" s="437"/>
      <c r="L10" s="438" t="s">
        <v>246</v>
      </c>
      <c r="M10" s="439"/>
      <c r="N10" s="440"/>
      <c r="O10" s="437"/>
      <c r="P10" s="438" t="s">
        <v>246</v>
      </c>
      <c r="Q10" s="439"/>
      <c r="R10" s="440"/>
      <c r="S10" s="437"/>
      <c r="T10" s="438" t="s">
        <v>246</v>
      </c>
      <c r="U10" s="439"/>
      <c r="V10" s="440"/>
      <c r="W10" s="441">
        <f t="shared" si="7"/>
        <v>0</v>
      </c>
      <c r="X10" s="442"/>
      <c r="Y10" s="437">
        <f t="shared" si="8"/>
        <v>0</v>
      </c>
      <c r="Z10" s="438" t="s">
        <v>246</v>
      </c>
      <c r="AA10" s="443">
        <f t="shared" si="9"/>
        <v>0</v>
      </c>
      <c r="AB10" s="444">
        <f t="shared" si="10"/>
        <v>0</v>
      </c>
      <c r="AC10" s="445"/>
      <c r="AD10" s="458">
        <f t="shared" ca="1" si="0"/>
        <v>442</v>
      </c>
      <c r="AE10" s="459">
        <f ca="1">IFERROR(INDEX(Reit!$I:$I,MATCH(AF10,Reit!$F:$F,0)),"")</f>
        <v>286</v>
      </c>
      <c r="AF10" s="460" t="str">
        <f t="shared" si="1"/>
        <v>Henri Mitt</v>
      </c>
      <c r="AG10" s="459">
        <f ca="1">IFERROR(INDEX(Reit!$I:$I,MATCH(AH10,Reit!$F:$F,0)),"")</f>
        <v>156</v>
      </c>
      <c r="AH10" s="460" t="str">
        <f t="shared" si="2"/>
        <v>Sander Rose</v>
      </c>
      <c r="AI10" s="459" t="str">
        <f>IFERROR(INDEX(Reit!$I:$I,MATCH(AJ10,Reit!$F:$F,0)),"")</f>
        <v/>
      </c>
      <c r="AJ10" s="460" t="str">
        <f t="shared" si="3"/>
        <v/>
      </c>
      <c r="AK10" s="459" t="str">
        <f>IFERROR(INDEX(Reit!$I:$I,MATCH(AL10,Reit!$F:$F,0)),"")</f>
        <v/>
      </c>
      <c r="AL10" s="460" t="str">
        <f t="shared" si="4"/>
        <v/>
      </c>
      <c r="AM10" s="459" t="str">
        <f>IFERROR(INDEX(Reit!$I:$I,MATCH(AN10,Reit!$F:$F,0)),"")</f>
        <v/>
      </c>
      <c r="AN10" s="460" t="str">
        <f t="shared" si="5"/>
        <v/>
      </c>
      <c r="AO10" s="459" t="str">
        <f>IFERROR(INDEX(Reit!$I:$I,MATCH(AP10,Reit!$F:$F,0)),"")</f>
        <v/>
      </c>
      <c r="AP10" s="460" t="str">
        <f t="shared" si="6"/>
        <v/>
      </c>
    </row>
    <row r="11" spans="1:42" x14ac:dyDescent="0.2">
      <c r="A11" s="435">
        <v>4</v>
      </c>
      <c r="B11" s="436" t="s">
        <v>268</v>
      </c>
      <c r="C11" s="437"/>
      <c r="D11" s="438" t="s">
        <v>246</v>
      </c>
      <c r="E11" s="439"/>
      <c r="F11" s="440"/>
      <c r="G11" s="437"/>
      <c r="H11" s="438" t="s">
        <v>246</v>
      </c>
      <c r="I11" s="439"/>
      <c r="J11" s="440"/>
      <c r="K11" s="437"/>
      <c r="L11" s="438" t="s">
        <v>246</v>
      </c>
      <c r="M11" s="439"/>
      <c r="N11" s="440"/>
      <c r="O11" s="437"/>
      <c r="P11" s="438" t="s">
        <v>246</v>
      </c>
      <c r="Q11" s="439"/>
      <c r="R11" s="440"/>
      <c r="S11" s="437"/>
      <c r="T11" s="438" t="s">
        <v>246</v>
      </c>
      <c r="U11" s="439"/>
      <c r="V11" s="440"/>
      <c r="W11" s="441">
        <f t="shared" si="7"/>
        <v>0</v>
      </c>
      <c r="X11" s="442"/>
      <c r="Y11" s="437">
        <f t="shared" si="8"/>
        <v>0</v>
      </c>
      <c r="Z11" s="438" t="s">
        <v>246</v>
      </c>
      <c r="AA11" s="443">
        <f t="shared" si="9"/>
        <v>0</v>
      </c>
      <c r="AB11" s="444">
        <f t="shared" si="10"/>
        <v>0</v>
      </c>
      <c r="AC11" s="445"/>
      <c r="AD11" s="458">
        <f t="shared" ca="1" si="0"/>
        <v>344</v>
      </c>
      <c r="AE11" s="459">
        <f ca="1">IFERROR(INDEX(Reit!$I:$I,MATCH(AF11,Reit!$F:$F,0)),"")</f>
        <v>185</v>
      </c>
      <c r="AF11" s="460" t="str">
        <f t="shared" si="1"/>
        <v>Boriss Klubov</v>
      </c>
      <c r="AG11" s="459">
        <f ca="1">IFERROR(INDEX(Reit!$I:$I,MATCH(AH11,Reit!$F:$F,0)),"")</f>
        <v>159</v>
      </c>
      <c r="AH11" s="460" t="str">
        <f t="shared" si="2"/>
        <v>Elmo Lageda</v>
      </c>
      <c r="AI11" s="459" t="str">
        <f>IFERROR(INDEX(Reit!$I:$I,MATCH(AJ11,Reit!$F:$F,0)),"")</f>
        <v/>
      </c>
      <c r="AJ11" s="460" t="str">
        <f t="shared" si="3"/>
        <v/>
      </c>
      <c r="AK11" s="459" t="str">
        <f>IFERROR(INDEX(Reit!$I:$I,MATCH(AL11,Reit!$F:$F,0)),"")</f>
        <v/>
      </c>
      <c r="AL11" s="460" t="str">
        <f t="shared" si="4"/>
        <v/>
      </c>
      <c r="AM11" s="459" t="str">
        <f>IFERROR(INDEX(Reit!$I:$I,MATCH(AN11,Reit!$F:$F,0)),"")</f>
        <v/>
      </c>
      <c r="AN11" s="460" t="str">
        <f t="shared" si="5"/>
        <v/>
      </c>
      <c r="AO11" s="459" t="str">
        <f>IFERROR(INDEX(Reit!$I:$I,MATCH(AP11,Reit!$F:$F,0)),"")</f>
        <v/>
      </c>
      <c r="AP11" s="460" t="str">
        <f t="shared" si="6"/>
        <v/>
      </c>
    </row>
    <row r="12" spans="1:42" x14ac:dyDescent="0.2">
      <c r="A12" s="435">
        <v>5</v>
      </c>
      <c r="B12" s="436" t="s">
        <v>256</v>
      </c>
      <c r="C12" s="437"/>
      <c r="D12" s="438" t="s">
        <v>246</v>
      </c>
      <c r="E12" s="439"/>
      <c r="F12" s="440"/>
      <c r="G12" s="437"/>
      <c r="H12" s="438" t="s">
        <v>246</v>
      </c>
      <c r="I12" s="439"/>
      <c r="J12" s="440"/>
      <c r="K12" s="437"/>
      <c r="L12" s="438" t="s">
        <v>246</v>
      </c>
      <c r="M12" s="439"/>
      <c r="N12" s="440"/>
      <c r="O12" s="437"/>
      <c r="P12" s="438" t="s">
        <v>246</v>
      </c>
      <c r="Q12" s="439"/>
      <c r="R12" s="440"/>
      <c r="S12" s="437"/>
      <c r="T12" s="438" t="s">
        <v>246</v>
      </c>
      <c r="U12" s="439"/>
      <c r="V12" s="440"/>
      <c r="W12" s="441">
        <f t="shared" si="7"/>
        <v>0</v>
      </c>
      <c r="X12" s="442"/>
      <c r="Y12" s="437">
        <f t="shared" si="8"/>
        <v>0</v>
      </c>
      <c r="Z12" s="438" t="s">
        <v>246</v>
      </c>
      <c r="AA12" s="443">
        <f t="shared" si="9"/>
        <v>0</v>
      </c>
      <c r="AB12" s="444">
        <f t="shared" si="10"/>
        <v>0</v>
      </c>
      <c r="AC12" s="445"/>
      <c r="AD12" s="458">
        <f t="shared" ca="1" si="0"/>
        <v>540</v>
      </c>
      <c r="AE12" s="459">
        <f ca="1">IFERROR(INDEX(Reit!$I:$I,MATCH(AF12,Reit!$F:$F,0)),"")</f>
        <v>248</v>
      </c>
      <c r="AF12" s="460" t="str">
        <f t="shared" si="1"/>
        <v>Jaan Sepp</v>
      </c>
      <c r="AG12" s="459">
        <f ca="1">IFERROR(INDEX(Reit!$I:$I,MATCH(AH12,Reit!$F:$F,0)),"")</f>
        <v>292</v>
      </c>
      <c r="AH12" s="460" t="str">
        <f t="shared" si="2"/>
        <v>Oskar Sepp</v>
      </c>
      <c r="AI12" s="459" t="str">
        <f>IFERROR(INDEX(Reit!$I:$I,MATCH(AJ12,Reit!$F:$F,0)),"")</f>
        <v/>
      </c>
      <c r="AJ12" s="460" t="str">
        <f t="shared" si="3"/>
        <v/>
      </c>
      <c r="AK12" s="459" t="str">
        <f>IFERROR(INDEX(Reit!$I:$I,MATCH(AL12,Reit!$F:$F,0)),"")</f>
        <v/>
      </c>
      <c r="AL12" s="460" t="str">
        <f t="shared" si="4"/>
        <v/>
      </c>
      <c r="AM12" s="459" t="str">
        <f>IFERROR(INDEX(Reit!$I:$I,MATCH(AN12,Reit!$F:$F,0)),"")</f>
        <v/>
      </c>
      <c r="AN12" s="460" t="str">
        <f t="shared" si="5"/>
        <v/>
      </c>
      <c r="AO12" s="459" t="str">
        <f>IFERROR(INDEX(Reit!$I:$I,MATCH(AP12,Reit!$F:$F,0)),"")</f>
        <v/>
      </c>
      <c r="AP12" s="460" t="str">
        <f t="shared" si="6"/>
        <v/>
      </c>
    </row>
    <row r="13" spans="1:42" x14ac:dyDescent="0.2">
      <c r="A13" s="435">
        <v>6</v>
      </c>
      <c r="B13" s="436" t="s">
        <v>255</v>
      </c>
      <c r="C13" s="437"/>
      <c r="D13" s="438" t="s">
        <v>246</v>
      </c>
      <c r="E13" s="439"/>
      <c r="F13" s="440"/>
      <c r="G13" s="437"/>
      <c r="H13" s="438" t="s">
        <v>246</v>
      </c>
      <c r="I13" s="439"/>
      <c r="J13" s="440"/>
      <c r="K13" s="437"/>
      <c r="L13" s="438" t="s">
        <v>246</v>
      </c>
      <c r="M13" s="439"/>
      <c r="N13" s="440"/>
      <c r="O13" s="437"/>
      <c r="P13" s="438" t="s">
        <v>246</v>
      </c>
      <c r="Q13" s="439"/>
      <c r="R13" s="440"/>
      <c r="S13" s="437"/>
      <c r="T13" s="438" t="s">
        <v>246</v>
      </c>
      <c r="U13" s="439"/>
      <c r="V13" s="440"/>
      <c r="W13" s="441">
        <f t="shared" si="7"/>
        <v>0</v>
      </c>
      <c r="X13" s="442"/>
      <c r="Y13" s="437">
        <f t="shared" si="8"/>
        <v>0</v>
      </c>
      <c r="Z13" s="438" t="s">
        <v>246</v>
      </c>
      <c r="AA13" s="443">
        <f t="shared" si="9"/>
        <v>0</v>
      </c>
      <c r="AB13" s="444">
        <f t="shared" si="10"/>
        <v>0</v>
      </c>
      <c r="AC13" s="445"/>
      <c r="AD13" s="458">
        <f t="shared" ca="1" si="0"/>
        <v>403</v>
      </c>
      <c r="AE13" s="459">
        <f ca="1">IFERROR(INDEX(Reit!$I:$I,MATCH(AF13,Reit!$F:$F,0)),"")</f>
        <v>197</v>
      </c>
      <c r="AF13" s="460" t="str">
        <f t="shared" si="1"/>
        <v>Andres Veski</v>
      </c>
      <c r="AG13" s="459">
        <f ca="1">IFERROR(INDEX(Reit!$I:$I,MATCH(AH13,Reit!$F:$F,0)),"")</f>
        <v>206</v>
      </c>
      <c r="AH13" s="460" t="str">
        <f t="shared" si="2"/>
        <v>Svetlana Veski</v>
      </c>
      <c r="AI13" s="459" t="str">
        <f>IFERROR(INDEX(Reit!$I:$I,MATCH(AJ13,Reit!$F:$F,0)),"")</f>
        <v/>
      </c>
      <c r="AJ13" s="460" t="str">
        <f t="shared" si="3"/>
        <v/>
      </c>
      <c r="AK13" s="459" t="str">
        <f>IFERROR(INDEX(Reit!$I:$I,MATCH(AL13,Reit!$F:$F,0)),"")</f>
        <v/>
      </c>
      <c r="AL13" s="460" t="str">
        <f t="shared" si="4"/>
        <v/>
      </c>
      <c r="AM13" s="459" t="str">
        <f>IFERROR(INDEX(Reit!$I:$I,MATCH(AN13,Reit!$F:$F,0)),"")</f>
        <v/>
      </c>
      <c r="AN13" s="460" t="str">
        <f t="shared" si="5"/>
        <v/>
      </c>
      <c r="AO13" s="459" t="str">
        <f>IFERROR(INDEX(Reit!$I:$I,MATCH(AP13,Reit!$F:$F,0)),"")</f>
        <v/>
      </c>
      <c r="AP13" s="460" t="str">
        <f t="shared" si="6"/>
        <v/>
      </c>
    </row>
    <row r="14" spans="1:42" x14ac:dyDescent="0.2">
      <c r="A14" s="435">
        <v>7</v>
      </c>
      <c r="B14" s="446" t="s">
        <v>465</v>
      </c>
      <c r="C14" s="437"/>
      <c r="D14" s="438" t="s">
        <v>246</v>
      </c>
      <c r="E14" s="439"/>
      <c r="F14" s="440"/>
      <c r="G14" s="437"/>
      <c r="H14" s="438" t="s">
        <v>246</v>
      </c>
      <c r="I14" s="439"/>
      <c r="J14" s="440"/>
      <c r="K14" s="437"/>
      <c r="L14" s="438" t="s">
        <v>246</v>
      </c>
      <c r="M14" s="439"/>
      <c r="N14" s="440"/>
      <c r="O14" s="437"/>
      <c r="P14" s="438" t="s">
        <v>246</v>
      </c>
      <c r="Q14" s="439"/>
      <c r="R14" s="440"/>
      <c r="S14" s="437"/>
      <c r="T14" s="438" t="s">
        <v>246</v>
      </c>
      <c r="U14" s="439"/>
      <c r="V14" s="440"/>
      <c r="W14" s="441">
        <f t="shared" si="7"/>
        <v>0</v>
      </c>
      <c r="X14" s="442"/>
      <c r="Y14" s="437">
        <f t="shared" si="8"/>
        <v>0</v>
      </c>
      <c r="Z14" s="438" t="s">
        <v>246</v>
      </c>
      <c r="AA14" s="443">
        <f t="shared" si="9"/>
        <v>0</v>
      </c>
      <c r="AB14" s="444">
        <f t="shared" si="10"/>
        <v>0</v>
      </c>
      <c r="AC14" s="445"/>
      <c r="AD14" s="458">
        <f t="shared" ca="1" si="0"/>
        <v>505</v>
      </c>
      <c r="AE14" s="459">
        <f ca="1">IFERROR(INDEX(Reit!$I:$I,MATCH(AF14,Reit!$F:$F,0)),"")</f>
        <v>211</v>
      </c>
      <c r="AF14" s="460" t="str">
        <f t="shared" si="1"/>
        <v>Kaspar Mänd</v>
      </c>
      <c r="AG14" s="459">
        <f ca="1">IFERROR(INDEX(Reit!$I:$I,MATCH(AH14,Reit!$F:$F,0)),"")</f>
        <v>294</v>
      </c>
      <c r="AH14" s="460" t="str">
        <f t="shared" si="2"/>
        <v>Matti Vinni</v>
      </c>
      <c r="AI14" s="459" t="str">
        <f>IFERROR(INDEX(Reit!$I:$I,MATCH(AJ14,Reit!$F:$F,0)),"")</f>
        <v/>
      </c>
      <c r="AJ14" s="460" t="str">
        <f t="shared" si="3"/>
        <v/>
      </c>
      <c r="AK14" s="459" t="str">
        <f>IFERROR(INDEX(Reit!$I:$I,MATCH(AL14,Reit!$F:$F,0)),"")</f>
        <v/>
      </c>
      <c r="AL14" s="460" t="str">
        <f t="shared" si="4"/>
        <v/>
      </c>
      <c r="AM14" s="459" t="str">
        <f>IFERROR(INDEX(Reit!$I:$I,MATCH(AN14,Reit!$F:$F,0)),"")</f>
        <v/>
      </c>
      <c r="AN14" s="460" t="str">
        <f t="shared" si="5"/>
        <v/>
      </c>
      <c r="AO14" s="459" t="str">
        <f>IFERROR(INDEX(Reit!$I:$I,MATCH(AP14,Reit!$F:$F,0)),"")</f>
        <v/>
      </c>
      <c r="AP14" s="460" t="str">
        <f t="shared" si="6"/>
        <v/>
      </c>
    </row>
    <row r="15" spans="1:42" x14ac:dyDescent="0.2">
      <c r="A15" s="435">
        <v>8</v>
      </c>
      <c r="B15" s="446" t="s">
        <v>254</v>
      </c>
      <c r="C15" s="437"/>
      <c r="D15" s="438" t="s">
        <v>246</v>
      </c>
      <c r="E15" s="439"/>
      <c r="F15" s="440"/>
      <c r="G15" s="437"/>
      <c r="H15" s="438" t="s">
        <v>246</v>
      </c>
      <c r="I15" s="439"/>
      <c r="J15" s="440"/>
      <c r="K15" s="437"/>
      <c r="L15" s="438" t="s">
        <v>246</v>
      </c>
      <c r="M15" s="439"/>
      <c r="N15" s="440"/>
      <c r="O15" s="437"/>
      <c r="P15" s="438" t="s">
        <v>246</v>
      </c>
      <c r="Q15" s="439"/>
      <c r="R15" s="440"/>
      <c r="S15" s="437"/>
      <c r="T15" s="438" t="s">
        <v>246</v>
      </c>
      <c r="U15" s="439"/>
      <c r="V15" s="440"/>
      <c r="W15" s="441">
        <f t="shared" si="7"/>
        <v>0</v>
      </c>
      <c r="X15" s="442"/>
      <c r="Y15" s="437">
        <f t="shared" si="8"/>
        <v>0</v>
      </c>
      <c r="Z15" s="438" t="s">
        <v>246</v>
      </c>
      <c r="AA15" s="443">
        <f t="shared" si="9"/>
        <v>0</v>
      </c>
      <c r="AB15" s="444">
        <f t="shared" si="10"/>
        <v>0</v>
      </c>
      <c r="AC15" s="445"/>
      <c r="AD15" s="458">
        <f t="shared" ca="1" si="0"/>
        <v>382</v>
      </c>
      <c r="AE15" s="459">
        <f ca="1">IFERROR(INDEX(Reit!$I:$I,MATCH(AF15,Reit!$F:$F,0)),"")</f>
        <v>232</v>
      </c>
      <c r="AF15" s="460" t="str">
        <f t="shared" si="1"/>
        <v>Aarne Välja</v>
      </c>
      <c r="AG15" s="459">
        <f ca="1">IFERROR(INDEX(Reit!$I:$I,MATCH(AH15,Reit!$F:$F,0)),"")</f>
        <v>150</v>
      </c>
      <c r="AH15" s="460" t="str">
        <f t="shared" si="2"/>
        <v>Janek Tarto</v>
      </c>
      <c r="AI15" s="459" t="str">
        <f>IFERROR(INDEX(Reit!$I:$I,MATCH(AJ15,Reit!$F:$F,0)),"")</f>
        <v/>
      </c>
      <c r="AJ15" s="460" t="str">
        <f t="shared" si="3"/>
        <v/>
      </c>
      <c r="AK15" s="459" t="str">
        <f>IFERROR(INDEX(Reit!$I:$I,MATCH(AL15,Reit!$F:$F,0)),"")</f>
        <v/>
      </c>
      <c r="AL15" s="460" t="str">
        <f t="shared" si="4"/>
        <v/>
      </c>
      <c r="AM15" s="459" t="str">
        <f>IFERROR(INDEX(Reit!$I:$I,MATCH(AN15,Reit!$F:$F,0)),"")</f>
        <v/>
      </c>
      <c r="AN15" s="460" t="str">
        <f t="shared" si="5"/>
        <v/>
      </c>
      <c r="AO15" s="459" t="str">
        <f>IFERROR(INDEX(Reit!$I:$I,MATCH(AP15,Reit!$F:$F,0)),"")</f>
        <v/>
      </c>
      <c r="AP15" s="460" t="str">
        <f t="shared" si="6"/>
        <v/>
      </c>
    </row>
    <row r="16" spans="1:42" x14ac:dyDescent="0.2">
      <c r="A16" s="435">
        <v>9</v>
      </c>
      <c r="B16" s="436" t="s">
        <v>471</v>
      </c>
      <c r="C16" s="437"/>
      <c r="D16" s="438" t="s">
        <v>246</v>
      </c>
      <c r="E16" s="439"/>
      <c r="F16" s="440"/>
      <c r="G16" s="437"/>
      <c r="H16" s="438" t="s">
        <v>246</v>
      </c>
      <c r="I16" s="439"/>
      <c r="J16" s="440"/>
      <c r="K16" s="437"/>
      <c r="L16" s="438" t="s">
        <v>246</v>
      </c>
      <c r="M16" s="439"/>
      <c r="N16" s="440"/>
      <c r="O16" s="437"/>
      <c r="P16" s="438" t="s">
        <v>246</v>
      </c>
      <c r="Q16" s="439"/>
      <c r="R16" s="440"/>
      <c r="S16" s="437"/>
      <c r="T16" s="438" t="s">
        <v>246</v>
      </c>
      <c r="U16" s="439"/>
      <c r="V16" s="440"/>
      <c r="W16" s="441">
        <f t="shared" si="7"/>
        <v>0</v>
      </c>
      <c r="X16" s="442"/>
      <c r="Y16" s="437">
        <f t="shared" si="8"/>
        <v>0</v>
      </c>
      <c r="Z16" s="438" t="s">
        <v>246</v>
      </c>
      <c r="AA16" s="443">
        <f t="shared" si="9"/>
        <v>0</v>
      </c>
      <c r="AB16" s="444">
        <f t="shared" si="10"/>
        <v>0</v>
      </c>
      <c r="AC16" s="445"/>
      <c r="AD16" s="458">
        <f t="shared" ca="1" si="0"/>
        <v>32</v>
      </c>
      <c r="AE16" s="459">
        <f ca="1">IFERROR(INDEX(Reit!$I:$I,MATCH(AF16,Reit!$F:$F,0)),"")</f>
        <v>16</v>
      </c>
      <c r="AF16" s="460" t="str">
        <f t="shared" si="1"/>
        <v>Imre Meller</v>
      </c>
      <c r="AG16" s="459">
        <f ca="1">IFERROR(INDEX(Reit!$I:$I,MATCH(AH16,Reit!$F:$F,0)),"")</f>
        <v>16</v>
      </c>
      <c r="AH16" s="460" t="str">
        <f t="shared" si="2"/>
        <v>Marko Rooden</v>
      </c>
      <c r="AI16" s="459" t="str">
        <f>IFERROR(INDEX(Reit!$I:$I,MATCH(AJ16,Reit!$F:$F,0)),"")</f>
        <v/>
      </c>
      <c r="AJ16" s="460" t="str">
        <f t="shared" si="3"/>
        <v/>
      </c>
      <c r="AK16" s="459" t="str">
        <f>IFERROR(INDEX(Reit!$I:$I,MATCH(AL16,Reit!$F:$F,0)),"")</f>
        <v/>
      </c>
      <c r="AL16" s="460" t="str">
        <f t="shared" si="4"/>
        <v/>
      </c>
      <c r="AM16" s="459" t="str">
        <f>IFERROR(INDEX(Reit!$I:$I,MATCH(AN16,Reit!$F:$F,0)),"")</f>
        <v/>
      </c>
      <c r="AN16" s="460" t="str">
        <f t="shared" si="5"/>
        <v/>
      </c>
      <c r="AO16" s="459" t="str">
        <f>IFERROR(INDEX(Reit!$I:$I,MATCH(AP16,Reit!$F:$F,0)),"")</f>
        <v/>
      </c>
      <c r="AP16" s="460" t="str">
        <f t="shared" si="6"/>
        <v/>
      </c>
    </row>
    <row r="17" spans="1:42" x14ac:dyDescent="0.2">
      <c r="A17" s="435">
        <v>10</v>
      </c>
      <c r="B17" s="436" t="s">
        <v>472</v>
      </c>
      <c r="C17" s="437"/>
      <c r="D17" s="438" t="s">
        <v>246</v>
      </c>
      <c r="E17" s="439"/>
      <c r="F17" s="440"/>
      <c r="G17" s="437"/>
      <c r="H17" s="438" t="s">
        <v>246</v>
      </c>
      <c r="I17" s="439"/>
      <c r="J17" s="440"/>
      <c r="K17" s="437"/>
      <c r="L17" s="438" t="s">
        <v>246</v>
      </c>
      <c r="M17" s="439"/>
      <c r="N17" s="440"/>
      <c r="O17" s="437"/>
      <c r="P17" s="438" t="s">
        <v>246</v>
      </c>
      <c r="Q17" s="439"/>
      <c r="R17" s="440"/>
      <c r="S17" s="437"/>
      <c r="T17" s="438" t="s">
        <v>246</v>
      </c>
      <c r="U17" s="439"/>
      <c r="V17" s="440"/>
      <c r="W17" s="441">
        <f t="shared" si="7"/>
        <v>0</v>
      </c>
      <c r="X17" s="442"/>
      <c r="Y17" s="437">
        <f t="shared" si="8"/>
        <v>0</v>
      </c>
      <c r="Z17" s="438" t="s">
        <v>246</v>
      </c>
      <c r="AA17" s="443">
        <f t="shared" si="9"/>
        <v>0</v>
      </c>
      <c r="AB17" s="444">
        <f t="shared" si="10"/>
        <v>0</v>
      </c>
      <c r="AC17" s="445"/>
      <c r="AD17" s="458">
        <f t="shared" ca="1" si="0"/>
        <v>101</v>
      </c>
      <c r="AE17" s="459">
        <f ca="1">IFERROR(INDEX(Reit!$I:$I,MATCH(AF17,Reit!$F:$F,0)),"")</f>
        <v>74</v>
      </c>
      <c r="AF17" s="460" t="str">
        <f t="shared" si="1"/>
        <v>Johannes Neiland</v>
      </c>
      <c r="AG17" s="459">
        <f ca="1">IFERROR(INDEX(Reit!$I:$I,MATCH(AH17,Reit!$F:$F,0)),"")</f>
        <v>27</v>
      </c>
      <c r="AH17" s="460" t="str">
        <f t="shared" si="2"/>
        <v>Oliver Ojasalu</v>
      </c>
      <c r="AI17" s="459" t="str">
        <f>IFERROR(INDEX(Reit!$I:$I,MATCH(AJ17,Reit!$F:$F,0)),"")</f>
        <v/>
      </c>
      <c r="AJ17" s="460" t="str">
        <f t="shared" si="3"/>
        <v/>
      </c>
      <c r="AK17" s="459" t="str">
        <f>IFERROR(INDEX(Reit!$I:$I,MATCH(AL17,Reit!$F:$F,0)),"")</f>
        <v/>
      </c>
      <c r="AL17" s="460" t="str">
        <f t="shared" si="4"/>
        <v/>
      </c>
      <c r="AM17" s="459" t="str">
        <f>IFERROR(INDEX(Reit!$I:$I,MATCH(AN17,Reit!$F:$F,0)),"")</f>
        <v/>
      </c>
      <c r="AN17" s="460" t="str">
        <f t="shared" si="5"/>
        <v/>
      </c>
      <c r="AO17" s="459" t="str">
        <f>IFERROR(INDEX(Reit!$I:$I,MATCH(AP17,Reit!$F:$F,0)),"")</f>
        <v/>
      </c>
      <c r="AP17" s="460" t="str">
        <f t="shared" si="6"/>
        <v/>
      </c>
    </row>
    <row r="18" spans="1:42" x14ac:dyDescent="0.2">
      <c r="A18" s="435">
        <v>11</v>
      </c>
      <c r="B18" s="446" t="s">
        <v>250</v>
      </c>
      <c r="C18" s="437"/>
      <c r="D18" s="438" t="s">
        <v>246</v>
      </c>
      <c r="E18" s="439"/>
      <c r="F18" s="440"/>
      <c r="G18" s="437"/>
      <c r="H18" s="438" t="s">
        <v>246</v>
      </c>
      <c r="I18" s="439"/>
      <c r="J18" s="440"/>
      <c r="K18" s="437"/>
      <c r="L18" s="438" t="s">
        <v>246</v>
      </c>
      <c r="M18" s="439"/>
      <c r="N18" s="440"/>
      <c r="O18" s="437"/>
      <c r="P18" s="438" t="s">
        <v>246</v>
      </c>
      <c r="Q18" s="439"/>
      <c r="R18" s="440"/>
      <c r="S18" s="437"/>
      <c r="T18" s="438" t="s">
        <v>246</v>
      </c>
      <c r="U18" s="439"/>
      <c r="V18" s="440"/>
      <c r="W18" s="441">
        <f t="shared" si="7"/>
        <v>0</v>
      </c>
      <c r="X18" s="442"/>
      <c r="Y18" s="437">
        <f t="shared" si="8"/>
        <v>0</v>
      </c>
      <c r="Z18" s="438" t="s">
        <v>246</v>
      </c>
      <c r="AA18" s="443">
        <f t="shared" si="9"/>
        <v>0</v>
      </c>
      <c r="AB18" s="444">
        <f t="shared" si="10"/>
        <v>0</v>
      </c>
      <c r="AC18" s="445"/>
      <c r="AD18" s="458">
        <f ca="1">SUM(AE18:AL18)</f>
        <v>226</v>
      </c>
      <c r="AE18" s="459">
        <f ca="1">IFERROR(INDEX(Reit!$I:$I,MATCH(AF18,Reit!$F:$F,0)),"")</f>
        <v>132</v>
      </c>
      <c r="AF18" s="460" t="str">
        <f t="shared" si="1"/>
        <v>Tõnu Kapper</v>
      </c>
      <c r="AG18" s="459">
        <f ca="1">IFERROR(INDEX(Reit!$I:$I,MATCH(AH18,Reit!$F:$F,0)),"")</f>
        <v>94</v>
      </c>
      <c r="AH18" s="460" t="str">
        <f t="shared" si="2"/>
        <v>Vladimir Ogneštšikov</v>
      </c>
      <c r="AI18" s="459" t="str">
        <f>IFERROR(INDEX(Reit!$I:$I,MATCH(AJ18,Reit!$F:$F,0)),"")</f>
        <v/>
      </c>
      <c r="AJ18" s="460" t="str">
        <f t="shared" si="3"/>
        <v/>
      </c>
      <c r="AK18" s="459" t="str">
        <f>IFERROR(INDEX(Reit!$I:$I,MATCH(AL18,Reit!$F:$F,0)),"")</f>
        <v/>
      </c>
      <c r="AL18" s="460" t="str">
        <f t="shared" si="4"/>
        <v/>
      </c>
      <c r="AM18" s="459" t="str">
        <f>IFERROR(INDEX(Reit!$I:$I,MATCH(AN18,Reit!$F:$F,0)),"")</f>
        <v/>
      </c>
      <c r="AN18" s="460" t="str">
        <f t="shared" si="5"/>
        <v/>
      </c>
      <c r="AO18" s="459" t="str">
        <f>IFERROR(INDEX(Reit!$I:$I,MATCH(AP18,Reit!$F:$F,0)),"")</f>
        <v/>
      </c>
      <c r="AP18" s="460" t="str">
        <f t="shared" si="6"/>
        <v/>
      </c>
    </row>
    <row r="19" spans="1:42" hidden="1" x14ac:dyDescent="0.2">
      <c r="A19" s="403"/>
      <c r="B19" s="403"/>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3"/>
      <c r="AL19" s="403"/>
      <c r="AM19" s="403"/>
    </row>
    <row r="20" spans="1:42" hidden="1" x14ac:dyDescent="0.2">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row>
    <row r="21" spans="1:42" hidden="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row>
    <row r="22" spans="1:42" hidden="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row>
    <row r="23" spans="1:42" hidden="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row>
    <row r="24" spans="1:42" hidden="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row>
    <row r="25" spans="1:42" hidden="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row>
    <row r="26" spans="1:42" hidden="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row>
    <row r="27" spans="1:42" hidden="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row>
    <row r="28" spans="1:42" hidden="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row>
    <row r="29" spans="1:42" hidden="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row>
    <row r="30" spans="1:42" hidden="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row>
    <row r="31" spans="1:42" hidden="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row>
    <row r="32" spans="1:42" hidden="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row>
    <row r="33" spans="1:39" hidden="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row>
    <row r="34" spans="1:39" hidden="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row>
    <row r="35" spans="1:39" hidden="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row>
    <row r="36" spans="1:39" hidden="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row>
    <row r="37" spans="1:39" hidden="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row>
    <row r="38" spans="1:39" hidden="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row>
    <row r="39" spans="1:39" hidden="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row>
    <row r="40" spans="1:39" hidden="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row>
    <row r="41" spans="1:39" hidden="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row>
    <row r="42" spans="1:39" hidden="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row>
    <row r="43" spans="1:39" hidden="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row>
    <row r="44" spans="1:39" hidden="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row>
    <row r="45" spans="1:39" hidden="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row>
    <row r="46" spans="1:39" hidden="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row>
    <row r="47" spans="1:39" hidden="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row>
    <row r="48" spans="1:39" hidden="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row>
    <row r="49" spans="1:39" hidden="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row>
    <row r="50" spans="1:39" hidden="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row>
    <row r="51" spans="1:39" hidden="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row>
    <row r="52" spans="1:39" hidden="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row>
    <row r="53" spans="1:39" hidden="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row>
    <row r="54" spans="1:39" hidden="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row>
    <row r="55" spans="1:39" hidden="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row>
    <row r="56" spans="1:39" hidden="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row>
    <row r="57" spans="1:39" hidden="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row>
    <row r="58" spans="1:39" hidden="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row>
    <row r="59" spans="1:39" hidden="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row>
    <row r="60" spans="1:39" hidden="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row>
    <row r="61" spans="1:39" hidden="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row>
    <row r="62" spans="1:39" hidden="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row>
    <row r="63" spans="1:39" hidden="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row>
    <row r="64" spans="1:39" hidden="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row>
    <row r="65" spans="1:39" hidden="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row>
    <row r="66" spans="1:39" hidden="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row>
    <row r="67" spans="1:39" hidden="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row>
    <row r="68" spans="1:39" hidden="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row>
    <row r="69" spans="1:39" hidden="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row>
    <row r="70" spans="1:39" hidden="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row>
    <row r="71" spans="1:39" hidden="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row>
    <row r="72" spans="1:39" hidden="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row>
    <row r="73" spans="1:39" hidden="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row>
    <row r="74" spans="1:39" hidden="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row>
    <row r="75" spans="1:39" hidden="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row>
    <row r="76" spans="1:39" hidden="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row>
    <row r="77" spans="1:39" hidden="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row>
    <row r="78" spans="1:39" hidden="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row>
    <row r="79" spans="1:39" hidden="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row>
    <row r="80" spans="1:39" hidden="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row>
    <row r="81" spans="1:39" hidden="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row>
    <row r="82" spans="1:39" hidden="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row>
    <row r="83" spans="1:39" hidden="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row>
    <row r="84" spans="1:39" hidden="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row>
    <row r="85" spans="1:39" hidden="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row>
    <row r="86" spans="1:39" hidden="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row>
    <row r="87" spans="1:39" hidden="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row>
    <row r="88" spans="1:39" hidden="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row>
    <row r="89" spans="1:39" hidden="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row>
    <row r="90" spans="1:39" hidden="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row>
    <row r="91" spans="1:39" hidden="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row>
    <row r="92" spans="1:39" hidden="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row>
    <row r="93" spans="1:39" hidden="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row>
    <row r="94" spans="1:39" hidden="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row>
    <row r="95" spans="1:39" hidden="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row>
    <row r="96" spans="1:39" hidden="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row>
    <row r="97" spans="1:39" hidden="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row>
    <row r="98" spans="1:39" hidden="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row>
    <row r="99" spans="1:39" hidden="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row>
    <row r="100" spans="1:39" hidden="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row>
    <row r="101" spans="1:39" hidden="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row>
    <row r="102" spans="1:39" hidden="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row>
    <row r="103" spans="1:39" hidden="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row>
    <row r="104" spans="1:39" hidden="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row>
    <row r="105" spans="1:39" hidden="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row>
    <row r="106" spans="1:39" hidden="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row>
    <row r="107" spans="1:39" hidden="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row>
    <row r="108" spans="1:39" hidden="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row>
    <row r="109" spans="1:39" hidden="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row>
    <row r="110" spans="1:39" hidden="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row>
    <row r="111" spans="1:39" hidden="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row>
    <row r="112" spans="1:39" hidden="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row>
    <row r="113" spans="1:39" hidden="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row>
    <row r="114" spans="1:39" hidden="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row>
    <row r="115" spans="1:39" hidden="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row>
    <row r="116" spans="1:39" hidden="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row>
    <row r="117" spans="1:39" hidden="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row>
    <row r="118" spans="1:39" hidden="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row>
    <row r="119" spans="1:39" hidden="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row>
    <row r="120" spans="1:39" hidden="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row>
    <row r="121" spans="1:39" hidden="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row>
    <row r="122" spans="1:39" hidden="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row>
    <row r="123" spans="1:39" hidden="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row>
    <row r="124" spans="1:39" hidden="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row>
    <row r="125" spans="1:39" hidden="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row>
    <row r="126" spans="1:39" hidden="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row>
    <row r="127" spans="1:39" hidden="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row>
    <row r="128" spans="1:39" hidden="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row>
    <row r="129" spans="1:39" hidden="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row>
    <row r="130" spans="1:39" hidden="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row>
    <row r="131" spans="1:39" hidden="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row>
    <row r="132" spans="1:39" hidden="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row>
    <row r="133" spans="1:39" hidden="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row>
    <row r="134" spans="1:39" hidden="1" x14ac:dyDescent="0.2">
      <c r="A134" s="403"/>
      <c r="B134" s="403"/>
      <c r="C134" s="403"/>
      <c r="D134" s="403"/>
      <c r="E134" s="403"/>
      <c r="F134" s="403"/>
      <c r="G134" s="403"/>
      <c r="H134" s="403"/>
      <c r="I134" s="403"/>
      <c r="J134" s="403"/>
      <c r="K134" s="403"/>
      <c r="L134" s="407"/>
      <c r="M134" s="407"/>
      <c r="N134" s="407"/>
      <c r="O134" s="403"/>
      <c r="P134" s="403"/>
      <c r="Q134" s="403"/>
      <c r="R134" s="403"/>
      <c r="S134" s="403"/>
      <c r="T134" s="407"/>
      <c r="U134" s="407"/>
      <c r="V134" s="407"/>
      <c r="W134" s="403"/>
      <c r="X134" s="403"/>
      <c r="Y134" s="403"/>
      <c r="Z134" s="403"/>
      <c r="AA134" s="403"/>
      <c r="AB134" s="403"/>
      <c r="AC134" s="403"/>
      <c r="AD134" s="403"/>
      <c r="AE134" s="403"/>
      <c r="AF134" s="403"/>
      <c r="AG134" s="403"/>
      <c r="AH134" s="403"/>
      <c r="AI134" s="403"/>
      <c r="AJ134" s="403"/>
      <c r="AK134" s="403"/>
      <c r="AL134" s="403"/>
      <c r="AM134" s="403"/>
    </row>
    <row r="135" spans="1:39" hidden="1" x14ac:dyDescent="0.2">
      <c r="A135" s="403"/>
      <c r="B135" s="403"/>
      <c r="C135" s="403"/>
      <c r="D135" s="403"/>
      <c r="E135" s="403"/>
      <c r="F135" s="403"/>
      <c r="G135" s="403"/>
      <c r="H135" s="403"/>
      <c r="I135" s="403"/>
      <c r="J135" s="403"/>
      <c r="K135" s="403"/>
      <c r="L135" s="407"/>
      <c r="M135" s="407"/>
      <c r="N135" s="407"/>
      <c r="O135" s="403"/>
      <c r="P135" s="403"/>
      <c r="Q135" s="403"/>
      <c r="R135" s="403"/>
      <c r="S135" s="403"/>
      <c r="T135" s="407"/>
      <c r="U135" s="407"/>
      <c r="V135" s="407"/>
      <c r="W135" s="403"/>
      <c r="X135" s="403"/>
      <c r="Y135" s="403"/>
      <c r="Z135" s="403"/>
      <c r="AA135" s="403"/>
      <c r="AB135" s="403"/>
      <c r="AC135" s="403"/>
      <c r="AD135" s="403"/>
      <c r="AE135" s="403"/>
      <c r="AF135" s="403"/>
      <c r="AG135" s="403"/>
      <c r="AH135" s="403"/>
      <c r="AI135" s="403"/>
      <c r="AJ135" s="403"/>
      <c r="AK135" s="403"/>
      <c r="AL135" s="403"/>
      <c r="AM135" s="403"/>
    </row>
    <row r="136" spans="1:39" hidden="1" x14ac:dyDescent="0.2">
      <c r="A136" s="403"/>
      <c r="B136" s="403"/>
      <c r="C136" s="403"/>
      <c r="D136" s="403"/>
      <c r="E136" s="403"/>
      <c r="F136" s="403"/>
      <c r="G136" s="403"/>
      <c r="H136" s="403"/>
      <c r="I136" s="403"/>
      <c r="J136" s="403"/>
      <c r="K136" s="403"/>
      <c r="L136" s="407"/>
      <c r="M136" s="407"/>
      <c r="N136" s="407"/>
      <c r="O136" s="403"/>
      <c r="P136" s="403"/>
      <c r="Q136" s="403"/>
      <c r="R136" s="403"/>
      <c r="S136" s="403"/>
      <c r="T136" s="407"/>
      <c r="U136" s="407"/>
      <c r="V136" s="407"/>
      <c r="W136" s="403"/>
      <c r="X136" s="403"/>
      <c r="Y136" s="403"/>
      <c r="Z136" s="403"/>
      <c r="AA136" s="403"/>
      <c r="AB136" s="403"/>
      <c r="AC136" s="403"/>
      <c r="AD136" s="403"/>
      <c r="AE136" s="403"/>
      <c r="AF136" s="403"/>
      <c r="AG136" s="403"/>
      <c r="AH136" s="403"/>
      <c r="AI136" s="403"/>
      <c r="AJ136" s="403"/>
      <c r="AK136" s="403"/>
      <c r="AL136" s="403"/>
      <c r="AM136" s="403"/>
    </row>
    <row r="137" spans="1:39" hidden="1" x14ac:dyDescent="0.2">
      <c r="A137" s="403"/>
      <c r="B137" s="403"/>
      <c r="C137" s="403"/>
      <c r="D137" s="403"/>
      <c r="E137" s="403"/>
      <c r="F137" s="403"/>
      <c r="G137" s="403"/>
      <c r="H137" s="403"/>
      <c r="I137" s="403"/>
      <c r="J137" s="403"/>
      <c r="K137" s="403"/>
      <c r="L137" s="407"/>
      <c r="M137" s="407"/>
      <c r="N137" s="407"/>
      <c r="O137" s="403"/>
      <c r="P137" s="403"/>
      <c r="Q137" s="403"/>
      <c r="R137" s="403"/>
      <c r="S137" s="403"/>
      <c r="T137" s="407"/>
      <c r="U137" s="407"/>
      <c r="V137" s="407"/>
      <c r="W137" s="403"/>
      <c r="X137" s="403"/>
      <c r="Y137" s="403"/>
      <c r="Z137" s="403"/>
      <c r="AA137" s="403"/>
      <c r="AB137" s="403"/>
      <c r="AC137" s="403"/>
      <c r="AD137" s="403"/>
      <c r="AE137" s="403"/>
      <c r="AF137" s="403"/>
      <c r="AG137" s="403"/>
      <c r="AH137" s="403"/>
      <c r="AI137" s="403"/>
      <c r="AJ137" s="403"/>
      <c r="AK137" s="403"/>
      <c r="AL137" s="403"/>
      <c r="AM137" s="403"/>
    </row>
    <row r="138" spans="1:39" hidden="1" x14ac:dyDescent="0.2">
      <c r="A138" s="403"/>
      <c r="B138" s="403"/>
      <c r="C138" s="403"/>
      <c r="D138" s="403"/>
      <c r="E138" s="403"/>
      <c r="F138" s="403"/>
      <c r="G138" s="403"/>
      <c r="H138" s="403"/>
      <c r="I138" s="403"/>
      <c r="J138" s="403"/>
      <c r="K138" s="403"/>
      <c r="L138" s="407"/>
      <c r="M138" s="407"/>
      <c r="N138" s="407"/>
      <c r="O138" s="403"/>
      <c r="P138" s="403"/>
      <c r="Q138" s="403"/>
      <c r="R138" s="403"/>
      <c r="S138" s="403"/>
      <c r="T138" s="407"/>
      <c r="U138" s="407"/>
      <c r="V138" s="407"/>
      <c r="W138" s="403"/>
      <c r="X138" s="403"/>
      <c r="Y138" s="403"/>
      <c r="Z138" s="403"/>
      <c r="AA138" s="403"/>
      <c r="AB138" s="403"/>
      <c r="AC138" s="403"/>
      <c r="AD138" s="403"/>
      <c r="AE138" s="403"/>
      <c r="AF138" s="403"/>
      <c r="AG138" s="403"/>
      <c r="AH138" s="403"/>
      <c r="AI138" s="403"/>
      <c r="AJ138" s="403"/>
      <c r="AK138" s="403"/>
      <c r="AL138" s="403"/>
      <c r="AM138" s="403"/>
    </row>
    <row r="139" spans="1:39" hidden="1" x14ac:dyDescent="0.2">
      <c r="A139" s="403"/>
      <c r="B139" s="403"/>
      <c r="C139" s="403"/>
      <c r="D139" s="403"/>
      <c r="E139" s="403"/>
      <c r="F139" s="403"/>
      <c r="G139" s="403"/>
      <c r="H139" s="403"/>
      <c r="I139" s="403"/>
      <c r="J139" s="403"/>
      <c r="K139" s="403"/>
      <c r="L139" s="407"/>
      <c r="M139" s="407"/>
      <c r="N139" s="407"/>
      <c r="O139" s="403"/>
      <c r="P139" s="403"/>
      <c r="Q139" s="403"/>
      <c r="R139" s="403"/>
      <c r="S139" s="403"/>
      <c r="T139" s="407"/>
      <c r="U139" s="407"/>
      <c r="V139" s="407"/>
      <c r="W139" s="403"/>
      <c r="X139" s="403"/>
      <c r="Y139" s="403"/>
      <c r="Z139" s="403"/>
      <c r="AA139" s="403"/>
      <c r="AB139" s="403"/>
      <c r="AC139" s="403"/>
      <c r="AD139" s="403"/>
      <c r="AE139" s="403"/>
      <c r="AF139" s="403"/>
      <c r="AG139" s="403"/>
      <c r="AH139" s="403"/>
      <c r="AI139" s="403"/>
      <c r="AJ139" s="403"/>
      <c r="AK139" s="403"/>
      <c r="AL139" s="403"/>
      <c r="AM139" s="403"/>
    </row>
    <row r="140" spans="1:39" hidden="1" x14ac:dyDescent="0.2">
      <c r="A140" s="403"/>
      <c r="B140" s="403"/>
      <c r="C140" s="403"/>
      <c r="D140" s="403"/>
      <c r="E140" s="403"/>
      <c r="F140" s="403"/>
      <c r="G140" s="403"/>
      <c r="H140" s="403"/>
      <c r="I140" s="403"/>
      <c r="J140" s="403"/>
      <c r="K140" s="403"/>
      <c r="L140" s="407"/>
      <c r="M140" s="407"/>
      <c r="N140" s="407"/>
      <c r="O140" s="403"/>
      <c r="P140" s="403"/>
      <c r="Q140" s="403"/>
      <c r="R140" s="403"/>
      <c r="S140" s="403"/>
      <c r="T140" s="407"/>
      <c r="U140" s="407"/>
      <c r="V140" s="407"/>
      <c r="W140" s="403"/>
      <c r="X140" s="403"/>
      <c r="Y140" s="403"/>
      <c r="Z140" s="403"/>
      <c r="AA140" s="403"/>
      <c r="AB140" s="403"/>
      <c r="AC140" s="403"/>
      <c r="AD140" s="403"/>
      <c r="AE140" s="403"/>
      <c r="AF140" s="403"/>
      <c r="AG140" s="403"/>
      <c r="AH140" s="403"/>
      <c r="AI140" s="403"/>
      <c r="AJ140" s="403"/>
      <c r="AK140" s="403"/>
      <c r="AL140" s="403"/>
      <c r="AM140" s="403"/>
    </row>
    <row r="141" spans="1:39" hidden="1" x14ac:dyDescent="0.2">
      <c r="A141" s="403"/>
      <c r="B141" s="403"/>
      <c r="C141" s="403"/>
      <c r="D141" s="403"/>
      <c r="E141" s="403"/>
      <c r="F141" s="403"/>
      <c r="G141" s="403"/>
      <c r="H141" s="403"/>
      <c r="I141" s="403"/>
      <c r="J141" s="403"/>
      <c r="K141" s="403"/>
      <c r="L141" s="407"/>
      <c r="M141" s="407"/>
      <c r="N141" s="407"/>
      <c r="O141" s="403"/>
      <c r="P141" s="403"/>
      <c r="Q141" s="403"/>
      <c r="R141" s="403"/>
      <c r="S141" s="403"/>
      <c r="T141" s="407"/>
      <c r="U141" s="407"/>
      <c r="V141" s="407"/>
      <c r="W141" s="403"/>
      <c r="X141" s="403"/>
      <c r="Y141" s="403"/>
      <c r="Z141" s="403"/>
      <c r="AA141" s="403"/>
      <c r="AB141" s="403"/>
      <c r="AC141" s="403"/>
      <c r="AD141" s="403"/>
      <c r="AE141" s="403"/>
      <c r="AF141" s="403"/>
      <c r="AG141" s="403"/>
      <c r="AH141" s="403"/>
      <c r="AI141" s="403"/>
      <c r="AJ141" s="403"/>
      <c r="AK141" s="403"/>
      <c r="AL141" s="403"/>
      <c r="AM141" s="403"/>
    </row>
    <row r="142" spans="1:39" hidden="1" x14ac:dyDescent="0.2">
      <c r="A142" s="403"/>
      <c r="B142" s="403"/>
      <c r="C142" s="403"/>
      <c r="D142" s="403"/>
      <c r="E142" s="403"/>
      <c r="F142" s="403"/>
      <c r="G142" s="403"/>
      <c r="H142" s="403"/>
      <c r="I142" s="403"/>
      <c r="J142" s="403"/>
      <c r="K142" s="403"/>
      <c r="L142" s="407"/>
      <c r="M142" s="407"/>
      <c r="N142" s="407"/>
      <c r="O142" s="403"/>
      <c r="P142" s="403"/>
      <c r="Q142" s="403"/>
      <c r="R142" s="403"/>
      <c r="S142" s="403"/>
      <c r="T142" s="407"/>
      <c r="U142" s="407"/>
      <c r="V142" s="407"/>
      <c r="W142" s="403"/>
      <c r="X142" s="403"/>
      <c r="Y142" s="403"/>
      <c r="Z142" s="403"/>
      <c r="AA142" s="403"/>
      <c r="AB142" s="403"/>
      <c r="AC142" s="403"/>
      <c r="AD142" s="403"/>
      <c r="AE142" s="403"/>
      <c r="AF142" s="403"/>
      <c r="AG142" s="403"/>
      <c r="AH142" s="403"/>
      <c r="AI142" s="403"/>
      <c r="AJ142" s="403"/>
      <c r="AK142" s="403"/>
      <c r="AL142" s="403"/>
      <c r="AM142" s="403"/>
    </row>
    <row r="143" spans="1:39" hidden="1" x14ac:dyDescent="0.2">
      <c r="A143" s="403"/>
      <c r="B143" s="403"/>
      <c r="C143" s="403"/>
      <c r="D143" s="403"/>
      <c r="E143" s="403"/>
      <c r="F143" s="403"/>
      <c r="G143" s="403"/>
      <c r="H143" s="403"/>
      <c r="I143" s="403"/>
      <c r="J143" s="403"/>
      <c r="K143" s="403"/>
      <c r="L143" s="407"/>
      <c r="M143" s="407"/>
      <c r="N143" s="407"/>
      <c r="O143" s="403"/>
      <c r="P143" s="403"/>
      <c r="Q143" s="403"/>
      <c r="R143" s="403"/>
      <c r="S143" s="403"/>
      <c r="T143" s="407"/>
      <c r="U143" s="407"/>
      <c r="V143" s="407"/>
      <c r="W143" s="403"/>
      <c r="X143" s="403"/>
      <c r="Y143" s="403"/>
      <c r="Z143" s="403"/>
      <c r="AA143" s="403"/>
      <c r="AB143" s="403"/>
      <c r="AC143" s="403"/>
      <c r="AD143" s="403"/>
      <c r="AE143" s="403"/>
      <c r="AF143" s="403"/>
      <c r="AG143" s="403"/>
      <c r="AH143" s="403"/>
      <c r="AI143" s="403"/>
      <c r="AJ143" s="403"/>
      <c r="AK143" s="403"/>
      <c r="AL143" s="403"/>
      <c r="AM143" s="403"/>
    </row>
    <row r="144" spans="1:39" hidden="1" x14ac:dyDescent="0.2">
      <c r="A144" s="403"/>
      <c r="B144" s="403"/>
      <c r="C144" s="403"/>
      <c r="D144" s="403"/>
      <c r="E144" s="403"/>
      <c r="F144" s="403"/>
      <c r="G144" s="403"/>
      <c r="H144" s="403"/>
      <c r="I144" s="403"/>
      <c r="J144" s="403"/>
      <c r="K144" s="403"/>
      <c r="L144" s="407"/>
      <c r="M144" s="407"/>
      <c r="N144" s="407"/>
      <c r="O144" s="403"/>
      <c r="P144" s="403"/>
      <c r="Q144" s="403"/>
      <c r="R144" s="403"/>
      <c r="S144" s="403"/>
      <c r="T144" s="407"/>
      <c r="U144" s="407"/>
      <c r="V144" s="407"/>
      <c r="W144" s="403"/>
      <c r="X144" s="403"/>
      <c r="Y144" s="403"/>
      <c r="Z144" s="403"/>
      <c r="AA144" s="403"/>
      <c r="AB144" s="403"/>
      <c r="AC144" s="403"/>
      <c r="AD144" s="403"/>
      <c r="AE144" s="403"/>
      <c r="AF144" s="403"/>
      <c r="AG144" s="403"/>
      <c r="AH144" s="403"/>
      <c r="AI144" s="403"/>
      <c r="AJ144" s="403"/>
      <c r="AK144" s="403"/>
      <c r="AL144" s="403"/>
      <c r="AM144" s="403"/>
    </row>
    <row r="145" spans="1:39" hidden="1" x14ac:dyDescent="0.2">
      <c r="A145" s="403"/>
      <c r="B145" s="403"/>
      <c r="C145" s="403"/>
      <c r="D145" s="403"/>
      <c r="E145" s="403"/>
      <c r="F145" s="403"/>
      <c r="G145" s="403"/>
      <c r="H145" s="403"/>
      <c r="I145" s="403"/>
      <c r="J145" s="403"/>
      <c r="K145" s="403"/>
      <c r="L145" s="407"/>
      <c r="M145" s="407"/>
      <c r="N145" s="407"/>
      <c r="O145" s="403"/>
      <c r="P145" s="403"/>
      <c r="Q145" s="403"/>
      <c r="R145" s="403"/>
      <c r="S145" s="403"/>
      <c r="T145" s="407"/>
      <c r="U145" s="407"/>
      <c r="V145" s="407"/>
      <c r="W145" s="403"/>
      <c r="X145" s="403"/>
      <c r="Y145" s="403"/>
      <c r="Z145" s="403"/>
      <c r="AA145" s="403"/>
      <c r="AB145" s="403"/>
      <c r="AC145" s="403"/>
      <c r="AD145" s="403"/>
      <c r="AE145" s="403"/>
      <c r="AF145" s="403"/>
      <c r="AG145" s="403"/>
      <c r="AH145" s="403"/>
      <c r="AI145" s="403"/>
      <c r="AJ145" s="403"/>
      <c r="AK145" s="403"/>
      <c r="AL145" s="403"/>
      <c r="AM145" s="403"/>
    </row>
    <row r="146" spans="1:39" hidden="1" x14ac:dyDescent="0.2">
      <c r="A146" s="403"/>
      <c r="B146" s="403"/>
      <c r="C146" s="403"/>
      <c r="D146" s="403"/>
      <c r="E146" s="403"/>
      <c r="F146" s="403"/>
      <c r="G146" s="403"/>
      <c r="H146" s="403"/>
      <c r="I146" s="403"/>
      <c r="J146" s="403"/>
      <c r="K146" s="403"/>
      <c r="L146" s="407"/>
      <c r="M146" s="407"/>
      <c r="N146" s="407"/>
      <c r="O146" s="403"/>
      <c r="P146" s="403"/>
      <c r="Q146" s="403"/>
      <c r="R146" s="403"/>
      <c r="S146" s="403"/>
      <c r="T146" s="407"/>
      <c r="U146" s="407"/>
      <c r="V146" s="407"/>
      <c r="W146" s="403"/>
      <c r="X146" s="403"/>
      <c r="Y146" s="403"/>
      <c r="Z146" s="403"/>
      <c r="AA146" s="403"/>
      <c r="AB146" s="403"/>
      <c r="AC146" s="403"/>
      <c r="AD146" s="403"/>
      <c r="AE146" s="403"/>
      <c r="AF146" s="403"/>
      <c r="AG146" s="403"/>
      <c r="AH146" s="403"/>
      <c r="AI146" s="403"/>
      <c r="AJ146" s="403"/>
      <c r="AK146" s="403"/>
      <c r="AL146" s="403"/>
      <c r="AM146" s="403"/>
    </row>
    <row r="147" spans="1:39" hidden="1" x14ac:dyDescent="0.2">
      <c r="A147" s="403"/>
      <c r="B147" s="403"/>
      <c r="C147" s="403"/>
      <c r="D147" s="403"/>
      <c r="E147" s="403"/>
      <c r="F147" s="403"/>
      <c r="G147" s="403"/>
      <c r="H147" s="403"/>
      <c r="I147" s="403"/>
      <c r="J147" s="403"/>
      <c r="K147" s="403"/>
      <c r="L147" s="407"/>
      <c r="M147" s="407"/>
      <c r="N147" s="407"/>
      <c r="O147" s="403"/>
      <c r="P147" s="403"/>
      <c r="Q147" s="403"/>
      <c r="R147" s="403"/>
      <c r="S147" s="403"/>
      <c r="T147" s="407"/>
      <c r="U147" s="407"/>
      <c r="V147" s="407"/>
      <c r="W147" s="403"/>
      <c r="X147" s="403"/>
      <c r="Y147" s="403"/>
      <c r="Z147" s="403"/>
      <c r="AA147" s="403"/>
      <c r="AB147" s="403"/>
      <c r="AC147" s="403"/>
      <c r="AD147" s="403"/>
      <c r="AE147" s="403"/>
      <c r="AF147" s="403"/>
      <c r="AG147" s="403"/>
      <c r="AH147" s="403"/>
      <c r="AI147" s="403"/>
      <c r="AJ147" s="403"/>
      <c r="AK147" s="403"/>
      <c r="AL147" s="403"/>
      <c r="AM147" s="403"/>
    </row>
    <row r="148" spans="1:39" hidden="1" x14ac:dyDescent="0.2">
      <c r="A148" s="403"/>
      <c r="B148" s="403"/>
      <c r="C148" s="403"/>
      <c r="D148" s="403"/>
      <c r="E148" s="403"/>
      <c r="F148" s="403"/>
      <c r="G148" s="403"/>
      <c r="H148" s="403"/>
      <c r="I148" s="403"/>
      <c r="J148" s="403"/>
      <c r="K148" s="403"/>
      <c r="L148" s="407"/>
      <c r="M148" s="407"/>
      <c r="N148" s="407"/>
      <c r="O148" s="403"/>
      <c r="P148" s="403"/>
      <c r="Q148" s="403"/>
      <c r="R148" s="403"/>
      <c r="S148" s="403"/>
      <c r="T148" s="407"/>
      <c r="U148" s="407"/>
      <c r="V148" s="407"/>
      <c r="W148" s="403"/>
      <c r="X148" s="403"/>
      <c r="Y148" s="403"/>
      <c r="Z148" s="403"/>
      <c r="AA148" s="403"/>
      <c r="AB148" s="403"/>
      <c r="AC148" s="403"/>
      <c r="AD148" s="403"/>
      <c r="AE148" s="403"/>
      <c r="AF148" s="403"/>
      <c r="AG148" s="403"/>
      <c r="AH148" s="403"/>
      <c r="AI148" s="403"/>
      <c r="AJ148" s="403"/>
      <c r="AK148" s="403"/>
      <c r="AL148" s="403"/>
      <c r="AM148" s="403"/>
    </row>
    <row r="149" spans="1:39" hidden="1" x14ac:dyDescent="0.2">
      <c r="A149" s="403"/>
      <c r="B149" s="403"/>
      <c r="C149" s="403"/>
      <c r="D149" s="403"/>
      <c r="E149" s="403"/>
      <c r="F149" s="403"/>
      <c r="G149" s="403"/>
      <c r="H149" s="403"/>
      <c r="I149" s="403"/>
      <c r="J149" s="403"/>
      <c r="K149" s="403"/>
      <c r="L149" s="407"/>
      <c r="M149" s="407"/>
      <c r="N149" s="407"/>
      <c r="O149" s="403"/>
      <c r="P149" s="403"/>
      <c r="Q149" s="403"/>
      <c r="R149" s="403"/>
      <c r="S149" s="403"/>
      <c r="T149" s="407"/>
      <c r="U149" s="407"/>
      <c r="V149" s="407"/>
      <c r="W149" s="403"/>
      <c r="X149" s="403"/>
      <c r="Y149" s="403"/>
      <c r="Z149" s="403"/>
      <c r="AA149" s="403"/>
      <c r="AB149" s="403"/>
      <c r="AC149" s="403"/>
      <c r="AD149" s="403"/>
      <c r="AE149" s="403"/>
      <c r="AF149" s="403"/>
      <c r="AG149" s="403"/>
      <c r="AH149" s="403"/>
      <c r="AI149" s="403"/>
      <c r="AJ149" s="403"/>
      <c r="AK149" s="403"/>
      <c r="AL149" s="403"/>
      <c r="AM149" s="403"/>
    </row>
    <row r="150" spans="1:39" hidden="1" x14ac:dyDescent="0.2">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row>
    <row r="151" spans="1:39" hidden="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row>
    <row r="152" spans="1:39" hidden="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row>
    <row r="153" spans="1:39" hidden="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row>
    <row r="154" spans="1:39" hidden="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row>
    <row r="155" spans="1:39" hidden="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row>
    <row r="156" spans="1:39" hidden="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row>
    <row r="157" spans="1:39" hidden="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row>
    <row r="158" spans="1:39" hidden="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row>
    <row r="159" spans="1:39" hidden="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row>
    <row r="160" spans="1:39" hidden="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row>
    <row r="161" spans="1:39" hidden="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row>
    <row r="162" spans="1:39" hidden="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row>
    <row r="163" spans="1:39" hidden="1" x14ac:dyDescent="0.2">
      <c r="A163" s="403"/>
      <c r="B163" s="403"/>
      <c r="C163" s="403"/>
      <c r="D163" s="403"/>
      <c r="E163" s="403"/>
      <c r="F163" s="403"/>
      <c r="G163" s="403"/>
      <c r="H163" s="403"/>
      <c r="I163" s="403"/>
      <c r="J163" s="403"/>
      <c r="K163" s="403"/>
      <c r="L163" s="407"/>
      <c r="M163" s="407"/>
      <c r="N163" s="407"/>
      <c r="O163" s="403"/>
      <c r="P163" s="403"/>
      <c r="Q163" s="403"/>
      <c r="R163" s="403"/>
      <c r="S163" s="403"/>
      <c r="T163" s="407"/>
      <c r="U163" s="407"/>
      <c r="V163" s="407"/>
      <c r="W163" s="403"/>
      <c r="X163" s="403"/>
      <c r="Y163" s="403"/>
      <c r="Z163" s="403"/>
      <c r="AA163" s="403"/>
      <c r="AB163" s="403"/>
      <c r="AC163" s="403"/>
      <c r="AD163" s="403"/>
      <c r="AE163" s="403"/>
      <c r="AF163" s="403"/>
      <c r="AG163" s="403"/>
      <c r="AH163" s="403"/>
      <c r="AI163" s="403"/>
      <c r="AJ163" s="403"/>
      <c r="AK163" s="403"/>
      <c r="AL163" s="403"/>
      <c r="AM163" s="403"/>
    </row>
    <row r="164" spans="1:39" hidden="1" x14ac:dyDescent="0.2">
      <c r="A164" s="403"/>
      <c r="B164" s="403"/>
      <c r="C164" s="403"/>
      <c r="D164" s="403"/>
      <c r="E164" s="403"/>
      <c r="F164" s="403"/>
      <c r="G164" s="403"/>
      <c r="H164" s="403"/>
      <c r="I164" s="403"/>
      <c r="J164" s="403"/>
      <c r="K164" s="403"/>
      <c r="L164" s="407"/>
      <c r="M164" s="407"/>
      <c r="N164" s="407"/>
      <c r="O164" s="403"/>
      <c r="P164" s="403"/>
      <c r="Q164" s="403"/>
      <c r="R164" s="403"/>
      <c r="S164" s="403"/>
      <c r="T164" s="407"/>
      <c r="U164" s="407"/>
      <c r="V164" s="407"/>
      <c r="W164" s="403"/>
      <c r="X164" s="403"/>
      <c r="Y164" s="403"/>
      <c r="Z164" s="403"/>
      <c r="AA164" s="403"/>
      <c r="AB164" s="403"/>
      <c r="AC164" s="403"/>
      <c r="AD164" s="403"/>
      <c r="AE164" s="403"/>
      <c r="AF164" s="403"/>
      <c r="AG164" s="403"/>
      <c r="AH164" s="403"/>
      <c r="AI164" s="403"/>
      <c r="AJ164" s="403"/>
      <c r="AK164" s="403"/>
      <c r="AL164" s="403"/>
      <c r="AM164" s="403"/>
    </row>
    <row r="165" spans="1:39" hidden="1" x14ac:dyDescent="0.2">
      <c r="A165" s="403"/>
      <c r="B165" s="403"/>
      <c r="C165" s="403"/>
      <c r="D165" s="403"/>
      <c r="E165" s="403"/>
      <c r="F165" s="403"/>
      <c r="G165" s="403"/>
      <c r="H165" s="403"/>
      <c r="I165" s="403"/>
      <c r="J165" s="403"/>
      <c r="K165" s="403"/>
      <c r="L165" s="407"/>
      <c r="M165" s="407"/>
      <c r="N165" s="407"/>
      <c r="O165" s="403"/>
      <c r="P165" s="403"/>
      <c r="Q165" s="403"/>
      <c r="R165" s="403"/>
      <c r="S165" s="403"/>
      <c r="T165" s="407"/>
      <c r="U165" s="407"/>
      <c r="V165" s="407"/>
      <c r="W165" s="403"/>
      <c r="X165" s="403"/>
      <c r="Y165" s="403"/>
      <c r="Z165" s="403"/>
      <c r="AA165" s="403"/>
      <c r="AB165" s="403"/>
      <c r="AC165" s="403"/>
      <c r="AD165" s="403"/>
      <c r="AE165" s="403"/>
      <c r="AF165" s="403"/>
      <c r="AG165" s="403"/>
      <c r="AH165" s="403"/>
      <c r="AI165" s="403"/>
      <c r="AJ165" s="403"/>
      <c r="AK165" s="403"/>
      <c r="AL165" s="403"/>
      <c r="AM165" s="403"/>
    </row>
    <row r="166" spans="1:39" hidden="1" x14ac:dyDescent="0.2">
      <c r="A166" s="403"/>
      <c r="B166" s="403"/>
      <c r="C166" s="403"/>
      <c r="D166" s="403"/>
      <c r="E166" s="403"/>
      <c r="F166" s="403"/>
      <c r="G166" s="403"/>
      <c r="H166" s="403"/>
      <c r="I166" s="403"/>
      <c r="J166" s="403"/>
      <c r="K166" s="403"/>
      <c r="L166" s="407"/>
      <c r="M166" s="407"/>
      <c r="N166" s="407"/>
      <c r="O166" s="403"/>
      <c r="P166" s="403"/>
      <c r="Q166" s="403"/>
      <c r="R166" s="403"/>
      <c r="S166" s="403"/>
      <c r="T166" s="407"/>
      <c r="U166" s="407"/>
      <c r="V166" s="407"/>
      <c r="W166" s="403"/>
      <c r="X166" s="403"/>
      <c r="Y166" s="403"/>
      <c r="Z166" s="403"/>
      <c r="AA166" s="403"/>
      <c r="AB166" s="403"/>
      <c r="AC166" s="403"/>
      <c r="AD166" s="403"/>
      <c r="AE166" s="403"/>
      <c r="AF166" s="403"/>
      <c r="AG166" s="403"/>
      <c r="AH166" s="403"/>
      <c r="AI166" s="403"/>
      <c r="AJ166" s="403"/>
      <c r="AK166" s="403"/>
      <c r="AL166" s="403"/>
      <c r="AM166" s="403"/>
    </row>
    <row r="167" spans="1:39" hidden="1" x14ac:dyDescent="0.2">
      <c r="A167" s="403"/>
      <c r="B167" s="403"/>
      <c r="C167" s="403"/>
      <c r="D167" s="403"/>
      <c r="E167" s="403"/>
      <c r="F167" s="403"/>
      <c r="G167" s="403"/>
      <c r="H167" s="403"/>
      <c r="I167" s="403"/>
      <c r="J167" s="403"/>
      <c r="K167" s="403"/>
      <c r="L167" s="407"/>
      <c r="M167" s="407"/>
      <c r="N167" s="407"/>
      <c r="O167" s="403"/>
      <c r="P167" s="403"/>
      <c r="Q167" s="403"/>
      <c r="R167" s="403"/>
      <c r="S167" s="403"/>
      <c r="T167" s="407"/>
      <c r="U167" s="407"/>
      <c r="V167" s="407"/>
      <c r="W167" s="403"/>
      <c r="X167" s="403"/>
      <c r="Y167" s="403"/>
      <c r="Z167" s="403"/>
      <c r="AA167" s="403"/>
      <c r="AB167" s="403"/>
      <c r="AC167" s="403"/>
      <c r="AD167" s="403"/>
      <c r="AE167" s="403"/>
      <c r="AF167" s="403"/>
      <c r="AG167" s="403"/>
      <c r="AH167" s="403"/>
      <c r="AI167" s="403"/>
      <c r="AJ167" s="403"/>
      <c r="AK167" s="403"/>
      <c r="AL167" s="403"/>
      <c r="AM167" s="403"/>
    </row>
    <row r="168" spans="1:39" hidden="1" x14ac:dyDescent="0.2">
      <c r="A168" s="403"/>
      <c r="B168" s="403"/>
      <c r="C168" s="403"/>
      <c r="D168" s="403"/>
      <c r="E168" s="403"/>
      <c r="F168" s="403"/>
      <c r="G168" s="403"/>
      <c r="H168" s="403"/>
      <c r="I168" s="403"/>
      <c r="J168" s="403"/>
      <c r="K168" s="403"/>
      <c r="L168" s="407"/>
      <c r="M168" s="407"/>
      <c r="N168" s="407"/>
      <c r="O168" s="403"/>
      <c r="P168" s="403"/>
      <c r="Q168" s="403"/>
      <c r="R168" s="403"/>
      <c r="S168" s="403"/>
      <c r="T168" s="407"/>
      <c r="U168" s="407"/>
      <c r="V168" s="407"/>
      <c r="W168" s="403"/>
      <c r="X168" s="403"/>
      <c r="Y168" s="403"/>
      <c r="Z168" s="403"/>
      <c r="AA168" s="403"/>
      <c r="AB168" s="403"/>
      <c r="AC168" s="403"/>
      <c r="AD168" s="403"/>
      <c r="AE168" s="403"/>
      <c r="AF168" s="403"/>
      <c r="AG168" s="403"/>
      <c r="AH168" s="403"/>
      <c r="AI168" s="403"/>
      <c r="AJ168" s="403"/>
      <c r="AK168" s="403"/>
      <c r="AL168" s="403"/>
      <c r="AM168" s="403"/>
    </row>
    <row r="169" spans="1:39" hidden="1" x14ac:dyDescent="0.2">
      <c r="A169" s="403"/>
      <c r="B169" s="403"/>
      <c r="C169" s="403"/>
      <c r="D169" s="403"/>
      <c r="E169" s="403"/>
      <c r="F169" s="403"/>
      <c r="G169" s="403"/>
      <c r="H169" s="403"/>
      <c r="I169" s="403"/>
      <c r="J169" s="403"/>
      <c r="K169" s="403"/>
      <c r="L169" s="407"/>
      <c r="M169" s="407"/>
      <c r="N169" s="407"/>
      <c r="O169" s="403"/>
      <c r="P169" s="403"/>
      <c r="Q169" s="403"/>
      <c r="R169" s="403"/>
      <c r="S169" s="403"/>
      <c r="T169" s="407"/>
      <c r="U169" s="407"/>
      <c r="V169" s="407"/>
      <c r="W169" s="403"/>
      <c r="X169" s="403"/>
      <c r="Y169" s="403"/>
      <c r="Z169" s="403"/>
      <c r="AA169" s="403"/>
      <c r="AB169" s="403"/>
      <c r="AC169" s="403"/>
      <c r="AD169" s="403"/>
      <c r="AE169" s="403"/>
      <c r="AF169" s="403"/>
      <c r="AG169" s="403"/>
      <c r="AH169" s="403"/>
      <c r="AI169" s="403"/>
      <c r="AJ169" s="403"/>
      <c r="AK169" s="403"/>
      <c r="AL169" s="403"/>
      <c r="AM169" s="403"/>
    </row>
    <row r="170" spans="1:39" hidden="1" x14ac:dyDescent="0.2">
      <c r="A170" s="403"/>
      <c r="B170" s="403"/>
      <c r="C170" s="403"/>
      <c r="D170" s="403"/>
      <c r="E170" s="403"/>
      <c r="F170" s="403"/>
      <c r="G170" s="403"/>
      <c r="H170" s="403"/>
      <c r="I170" s="403"/>
      <c r="J170" s="403"/>
      <c r="K170" s="403"/>
      <c r="L170" s="407"/>
      <c r="M170" s="407"/>
      <c r="N170" s="407"/>
      <c r="O170" s="403"/>
      <c r="P170" s="403"/>
      <c r="Q170" s="403"/>
      <c r="R170" s="403"/>
      <c r="S170" s="403"/>
      <c r="T170" s="407"/>
      <c r="U170" s="407"/>
      <c r="V170" s="407"/>
      <c r="W170" s="403"/>
      <c r="X170" s="403"/>
      <c r="Y170" s="403"/>
      <c r="Z170" s="403"/>
      <c r="AA170" s="403"/>
      <c r="AB170" s="403"/>
      <c r="AC170" s="403"/>
      <c r="AD170" s="403"/>
      <c r="AE170" s="403"/>
      <c r="AF170" s="403"/>
      <c r="AG170" s="403"/>
      <c r="AH170" s="403"/>
      <c r="AI170" s="403"/>
      <c r="AJ170" s="403"/>
      <c r="AK170" s="403"/>
      <c r="AL170" s="403"/>
      <c r="AM170" s="403"/>
    </row>
    <row r="171" spans="1:39" hidden="1" x14ac:dyDescent="0.2">
      <c r="A171" s="403"/>
      <c r="B171" s="403"/>
      <c r="C171" s="403"/>
      <c r="D171" s="403"/>
      <c r="E171" s="403"/>
      <c r="F171" s="403"/>
      <c r="G171" s="403"/>
      <c r="H171" s="403"/>
      <c r="I171" s="403"/>
      <c r="J171" s="403"/>
      <c r="K171" s="403"/>
      <c r="L171" s="407"/>
      <c r="M171" s="407"/>
      <c r="N171" s="407"/>
      <c r="O171" s="403"/>
      <c r="P171" s="403"/>
      <c r="Q171" s="403"/>
      <c r="R171" s="403"/>
      <c r="S171" s="403"/>
      <c r="T171" s="407"/>
      <c r="U171" s="407"/>
      <c r="V171" s="407"/>
      <c r="W171" s="403"/>
      <c r="X171" s="403"/>
      <c r="Y171" s="403"/>
      <c r="Z171" s="403"/>
      <c r="AA171" s="403"/>
      <c r="AB171" s="403"/>
      <c r="AC171" s="403"/>
      <c r="AD171" s="403"/>
      <c r="AE171" s="403"/>
      <c r="AF171" s="403"/>
      <c r="AG171" s="403"/>
      <c r="AH171" s="403"/>
      <c r="AI171" s="403"/>
      <c r="AJ171" s="403"/>
      <c r="AK171" s="403"/>
      <c r="AL171" s="403"/>
      <c r="AM171" s="403"/>
    </row>
    <row r="172" spans="1:39" hidden="1" x14ac:dyDescent="0.2">
      <c r="A172" s="403"/>
      <c r="B172" s="403"/>
      <c r="C172" s="403"/>
      <c r="D172" s="403"/>
      <c r="E172" s="403"/>
      <c r="F172" s="403"/>
      <c r="G172" s="403"/>
      <c r="H172" s="403"/>
      <c r="I172" s="403"/>
      <c r="J172" s="403"/>
      <c r="K172" s="403"/>
      <c r="L172" s="407"/>
      <c r="M172" s="407"/>
      <c r="N172" s="407"/>
      <c r="O172" s="403"/>
      <c r="P172" s="403"/>
      <c r="Q172" s="403"/>
      <c r="R172" s="403"/>
      <c r="S172" s="403"/>
      <c r="T172" s="407"/>
      <c r="U172" s="407"/>
      <c r="V172" s="407"/>
      <c r="W172" s="403"/>
      <c r="X172" s="403"/>
      <c r="Y172" s="403"/>
      <c r="Z172" s="403"/>
      <c r="AA172" s="403"/>
      <c r="AB172" s="403"/>
      <c r="AC172" s="403"/>
      <c r="AD172" s="403"/>
      <c r="AE172" s="403"/>
      <c r="AF172" s="403"/>
      <c r="AG172" s="403"/>
      <c r="AH172" s="403"/>
      <c r="AI172" s="403"/>
      <c r="AJ172" s="403"/>
      <c r="AK172" s="403"/>
      <c r="AL172" s="403"/>
      <c r="AM172" s="403"/>
    </row>
    <row r="173" spans="1:39" hidden="1" x14ac:dyDescent="0.2">
      <c r="A173" s="403"/>
      <c r="B173" s="403"/>
      <c r="C173" s="403"/>
      <c r="D173" s="403"/>
      <c r="E173" s="403"/>
      <c r="F173" s="403"/>
      <c r="G173" s="403"/>
      <c r="H173" s="403"/>
      <c r="I173" s="403"/>
      <c r="J173" s="403"/>
      <c r="K173" s="403"/>
      <c r="L173" s="407"/>
      <c r="M173" s="407"/>
      <c r="N173" s="407"/>
      <c r="O173" s="403"/>
      <c r="P173" s="403"/>
      <c r="Q173" s="403"/>
      <c r="R173" s="403"/>
      <c r="S173" s="403"/>
      <c r="T173" s="407"/>
      <c r="U173" s="407"/>
      <c r="V173" s="407"/>
      <c r="W173" s="403"/>
      <c r="X173" s="403"/>
      <c r="Y173" s="403"/>
      <c r="Z173" s="403"/>
      <c r="AA173" s="403"/>
      <c r="AB173" s="403"/>
      <c r="AC173" s="403"/>
      <c r="AD173" s="403"/>
      <c r="AE173" s="403"/>
      <c r="AF173" s="403"/>
      <c r="AG173" s="403"/>
      <c r="AH173" s="403"/>
      <c r="AI173" s="403"/>
      <c r="AJ173" s="403"/>
      <c r="AK173" s="403"/>
      <c r="AL173" s="403"/>
      <c r="AM173" s="403"/>
    </row>
    <row r="174" spans="1:39" hidden="1" x14ac:dyDescent="0.2">
      <c r="A174" s="403"/>
      <c r="B174" s="403"/>
      <c r="C174" s="403"/>
      <c r="D174" s="403"/>
      <c r="E174" s="403"/>
      <c r="F174" s="403"/>
      <c r="G174" s="403"/>
      <c r="H174" s="403"/>
      <c r="I174" s="403"/>
      <c r="J174" s="403"/>
      <c r="K174" s="403"/>
      <c r="L174" s="407"/>
      <c r="M174" s="407"/>
      <c r="N174" s="407"/>
      <c r="O174" s="403"/>
      <c r="P174" s="403"/>
      <c r="Q174" s="403"/>
      <c r="R174" s="403"/>
      <c r="S174" s="403"/>
      <c r="T174" s="407"/>
      <c r="U174" s="407"/>
      <c r="V174" s="407"/>
      <c r="W174" s="403"/>
      <c r="X174" s="403"/>
      <c r="Y174" s="403"/>
      <c r="Z174" s="403"/>
      <c r="AA174" s="403"/>
      <c r="AB174" s="403"/>
      <c r="AC174" s="403"/>
      <c r="AD174" s="403"/>
      <c r="AE174" s="403"/>
      <c r="AF174" s="403"/>
      <c r="AG174" s="403"/>
      <c r="AH174" s="403"/>
      <c r="AI174" s="403"/>
      <c r="AJ174" s="403"/>
      <c r="AK174" s="403"/>
      <c r="AL174" s="403"/>
      <c r="AM174" s="403"/>
    </row>
    <row r="175" spans="1:39" hidden="1" x14ac:dyDescent="0.2">
      <c r="A175" s="403"/>
      <c r="B175" s="403"/>
      <c r="C175" s="403"/>
      <c r="D175" s="403"/>
      <c r="E175" s="403"/>
      <c r="F175" s="403"/>
      <c r="G175" s="403"/>
      <c r="H175" s="403"/>
      <c r="I175" s="403"/>
      <c r="J175" s="403"/>
      <c r="K175" s="403"/>
      <c r="L175" s="407"/>
      <c r="M175" s="407"/>
      <c r="N175" s="407"/>
      <c r="O175" s="403"/>
      <c r="P175" s="403"/>
      <c r="Q175" s="403"/>
      <c r="R175" s="403"/>
      <c r="S175" s="403"/>
      <c r="T175" s="407"/>
      <c r="U175" s="407"/>
      <c r="V175" s="407"/>
      <c r="W175" s="403"/>
      <c r="X175" s="403"/>
      <c r="Y175" s="403"/>
      <c r="Z175" s="403"/>
      <c r="AA175" s="403"/>
      <c r="AB175" s="403"/>
      <c r="AC175" s="403"/>
      <c r="AD175" s="403"/>
      <c r="AE175" s="403"/>
      <c r="AF175" s="403"/>
      <c r="AG175" s="403"/>
      <c r="AH175" s="403"/>
      <c r="AI175" s="403"/>
      <c r="AJ175" s="403"/>
      <c r="AK175" s="403"/>
      <c r="AL175" s="403"/>
      <c r="AM175" s="403"/>
    </row>
    <row r="176" spans="1:39" hidden="1" x14ac:dyDescent="0.2">
      <c r="A176" s="403"/>
      <c r="B176" s="403"/>
      <c r="C176" s="403"/>
      <c r="D176" s="403"/>
      <c r="E176" s="403"/>
      <c r="F176" s="403"/>
      <c r="G176" s="403"/>
      <c r="H176" s="403"/>
      <c r="I176" s="403"/>
      <c r="J176" s="403"/>
      <c r="K176" s="403"/>
      <c r="L176" s="407"/>
      <c r="M176" s="407"/>
      <c r="N176" s="407"/>
      <c r="O176" s="403"/>
      <c r="P176" s="403"/>
      <c r="Q176" s="403"/>
      <c r="R176" s="403"/>
      <c r="S176" s="403"/>
      <c r="T176" s="407"/>
      <c r="U176" s="407"/>
      <c r="V176" s="407"/>
      <c r="W176" s="403"/>
      <c r="X176" s="403"/>
      <c r="Y176" s="403"/>
      <c r="Z176" s="403"/>
      <c r="AA176" s="403"/>
      <c r="AB176" s="403"/>
      <c r="AC176" s="403"/>
      <c r="AD176" s="403"/>
      <c r="AE176" s="403"/>
      <c r="AF176" s="403"/>
      <c r="AG176" s="403"/>
      <c r="AH176" s="403"/>
      <c r="AI176" s="403"/>
      <c r="AJ176" s="403"/>
      <c r="AK176" s="403"/>
      <c r="AL176" s="403"/>
      <c r="AM176" s="403"/>
    </row>
    <row r="177" spans="1:39" hidden="1" x14ac:dyDescent="0.2">
      <c r="A177" s="403"/>
      <c r="B177" s="403"/>
      <c r="C177" s="403"/>
      <c r="D177" s="403"/>
      <c r="E177" s="403"/>
      <c r="F177" s="403"/>
      <c r="G177" s="403"/>
      <c r="H177" s="403"/>
      <c r="I177" s="403"/>
      <c r="J177" s="403"/>
      <c r="K177" s="403"/>
      <c r="L177" s="407"/>
      <c r="M177" s="407"/>
      <c r="N177" s="407"/>
      <c r="O177" s="403"/>
      <c r="P177" s="403"/>
      <c r="Q177" s="403"/>
      <c r="R177" s="403"/>
      <c r="S177" s="403"/>
      <c r="T177" s="407"/>
      <c r="U177" s="407"/>
      <c r="V177" s="407"/>
      <c r="W177" s="403"/>
      <c r="X177" s="403"/>
      <c r="Y177" s="403"/>
      <c r="Z177" s="403"/>
      <c r="AA177" s="403"/>
      <c r="AB177" s="403"/>
      <c r="AC177" s="403"/>
      <c r="AD177" s="403"/>
      <c r="AE177" s="403"/>
      <c r="AF177" s="403"/>
      <c r="AG177" s="403"/>
      <c r="AH177" s="403"/>
      <c r="AI177" s="403"/>
      <c r="AJ177" s="403"/>
      <c r="AK177" s="403"/>
      <c r="AL177" s="403"/>
      <c r="AM177" s="403"/>
    </row>
    <row r="178" spans="1:39" hidden="1" x14ac:dyDescent="0.2">
      <c r="A178" s="403"/>
      <c r="B178" s="403"/>
      <c r="C178" s="403"/>
      <c r="D178" s="403"/>
      <c r="E178" s="403"/>
      <c r="F178" s="403"/>
      <c r="G178" s="403"/>
      <c r="H178" s="403"/>
      <c r="I178" s="403"/>
      <c r="J178" s="403"/>
      <c r="K178" s="403"/>
      <c r="L178" s="407"/>
      <c r="M178" s="407"/>
      <c r="N178" s="407"/>
      <c r="O178" s="403"/>
      <c r="P178" s="403"/>
      <c r="Q178" s="403"/>
      <c r="R178" s="403"/>
      <c r="S178" s="403"/>
      <c r="T178" s="407"/>
      <c r="U178" s="407"/>
      <c r="V178" s="407"/>
      <c r="W178" s="403"/>
      <c r="X178" s="403"/>
      <c r="Y178" s="403"/>
      <c r="Z178" s="403"/>
      <c r="AA178" s="403"/>
      <c r="AB178" s="403"/>
      <c r="AC178" s="403"/>
      <c r="AD178" s="403"/>
      <c r="AE178" s="403"/>
      <c r="AF178" s="403"/>
      <c r="AG178" s="403"/>
      <c r="AH178" s="403"/>
      <c r="AI178" s="403"/>
      <c r="AJ178" s="403"/>
      <c r="AK178" s="403"/>
      <c r="AL178" s="403"/>
      <c r="AM178" s="403"/>
    </row>
    <row r="179" spans="1:39" hidden="1" x14ac:dyDescent="0.2">
      <c r="A179" s="403"/>
      <c r="B179" s="403"/>
      <c r="C179" s="403"/>
      <c r="D179" s="403"/>
      <c r="E179" s="403"/>
      <c r="F179" s="403"/>
      <c r="G179" s="403"/>
      <c r="H179" s="403"/>
      <c r="I179" s="403"/>
      <c r="J179" s="403"/>
      <c r="K179" s="403"/>
      <c r="L179" s="407"/>
      <c r="M179" s="407"/>
      <c r="N179" s="407"/>
      <c r="O179" s="403"/>
      <c r="P179" s="403"/>
      <c r="Q179" s="403"/>
      <c r="R179" s="403"/>
      <c r="S179" s="403"/>
      <c r="T179" s="407"/>
      <c r="U179" s="407"/>
      <c r="V179" s="407"/>
      <c r="W179" s="403"/>
      <c r="X179" s="403"/>
      <c r="Y179" s="403"/>
      <c r="Z179" s="403"/>
      <c r="AA179" s="403"/>
      <c r="AB179" s="403"/>
      <c r="AC179" s="403"/>
      <c r="AD179" s="403"/>
      <c r="AE179" s="403"/>
      <c r="AF179" s="403"/>
      <c r="AG179" s="403"/>
      <c r="AH179" s="403"/>
      <c r="AI179" s="403"/>
      <c r="AJ179" s="403"/>
      <c r="AK179" s="403"/>
      <c r="AL179" s="403"/>
      <c r="AM179" s="403"/>
    </row>
    <row r="180" spans="1:39" hidden="1" x14ac:dyDescent="0.2">
      <c r="A180" s="403"/>
      <c r="B180" s="403"/>
      <c r="C180" s="403"/>
      <c r="D180" s="403"/>
      <c r="E180" s="403"/>
      <c r="F180" s="403"/>
      <c r="G180" s="403"/>
      <c r="H180" s="403"/>
      <c r="I180" s="403"/>
      <c r="J180" s="403"/>
      <c r="K180" s="403"/>
      <c r="L180" s="407"/>
      <c r="M180" s="407"/>
      <c r="N180" s="407"/>
      <c r="O180" s="403"/>
      <c r="P180" s="403"/>
      <c r="Q180" s="403"/>
      <c r="R180" s="403"/>
      <c r="S180" s="403"/>
      <c r="T180" s="407"/>
      <c r="U180" s="407"/>
      <c r="V180" s="407"/>
      <c r="W180" s="403"/>
      <c r="X180" s="403"/>
      <c r="Y180" s="403"/>
      <c r="Z180" s="403"/>
      <c r="AA180" s="403"/>
      <c r="AB180" s="403"/>
      <c r="AC180" s="403"/>
      <c r="AD180" s="403"/>
      <c r="AE180" s="403"/>
      <c r="AF180" s="403"/>
      <c r="AG180" s="403"/>
      <c r="AH180" s="403"/>
      <c r="AI180" s="403"/>
      <c r="AJ180" s="403"/>
      <c r="AK180" s="403"/>
      <c r="AL180" s="403"/>
      <c r="AM180" s="403"/>
    </row>
    <row r="181" spans="1:39" hidden="1" x14ac:dyDescent="0.2">
      <c r="A181" s="403"/>
      <c r="B181" s="403"/>
      <c r="C181" s="403"/>
      <c r="D181" s="403"/>
      <c r="E181" s="403"/>
      <c r="F181" s="403"/>
      <c r="G181" s="403"/>
      <c r="H181" s="403"/>
      <c r="I181" s="403"/>
      <c r="J181" s="403"/>
      <c r="K181" s="403"/>
      <c r="L181" s="407"/>
      <c r="M181" s="407"/>
      <c r="N181" s="407"/>
      <c r="O181" s="403"/>
      <c r="P181" s="403"/>
      <c r="Q181" s="403"/>
      <c r="R181" s="403"/>
      <c r="S181" s="403"/>
      <c r="T181" s="407"/>
      <c r="U181" s="407"/>
      <c r="V181" s="407"/>
      <c r="W181" s="403"/>
      <c r="X181" s="403"/>
      <c r="Y181" s="403"/>
      <c r="Z181" s="403"/>
      <c r="AA181" s="403"/>
      <c r="AB181" s="403"/>
      <c r="AC181" s="403"/>
      <c r="AD181" s="403"/>
      <c r="AE181" s="403"/>
      <c r="AF181" s="403"/>
      <c r="AG181" s="403"/>
      <c r="AH181" s="403"/>
      <c r="AI181" s="403"/>
      <c r="AJ181" s="403"/>
      <c r="AK181" s="403"/>
      <c r="AL181" s="403"/>
      <c r="AM181" s="403"/>
    </row>
    <row r="182" spans="1:39" hidden="1" x14ac:dyDescent="0.2">
      <c r="A182" s="403"/>
      <c r="B182" s="403"/>
      <c r="C182" s="403"/>
      <c r="D182" s="403"/>
      <c r="E182" s="403"/>
      <c r="F182" s="403"/>
      <c r="G182" s="403"/>
      <c r="H182" s="403"/>
      <c r="I182" s="403"/>
      <c r="J182" s="403"/>
      <c r="K182" s="403"/>
      <c r="L182" s="407"/>
      <c r="M182" s="407"/>
      <c r="N182" s="407"/>
      <c r="O182" s="403"/>
      <c r="P182" s="403"/>
      <c r="Q182" s="403"/>
      <c r="R182" s="403"/>
      <c r="S182" s="403"/>
      <c r="T182" s="407"/>
      <c r="U182" s="407"/>
      <c r="V182" s="407"/>
      <c r="W182" s="403"/>
      <c r="X182" s="403"/>
      <c r="Y182" s="403"/>
      <c r="Z182" s="403"/>
      <c r="AA182" s="403"/>
      <c r="AB182" s="403"/>
      <c r="AC182" s="403"/>
      <c r="AD182" s="403"/>
      <c r="AE182" s="403"/>
      <c r="AF182" s="403"/>
      <c r="AG182" s="403"/>
      <c r="AH182" s="403"/>
      <c r="AI182" s="403"/>
      <c r="AJ182" s="403"/>
      <c r="AK182" s="403"/>
      <c r="AL182" s="403"/>
      <c r="AM182" s="403"/>
    </row>
    <row r="183" spans="1:39" hidden="1" x14ac:dyDescent="0.2">
      <c r="A183" s="403"/>
      <c r="B183" s="403"/>
      <c r="C183" s="403"/>
      <c r="D183" s="403"/>
      <c r="E183" s="403"/>
      <c r="F183" s="403"/>
      <c r="G183" s="403"/>
      <c r="H183" s="403"/>
      <c r="I183" s="403"/>
      <c r="J183" s="403"/>
      <c r="K183" s="403"/>
      <c r="L183" s="407"/>
      <c r="M183" s="407"/>
      <c r="N183" s="407"/>
      <c r="O183" s="403"/>
      <c r="P183" s="403"/>
      <c r="Q183" s="403"/>
      <c r="R183" s="403"/>
      <c r="S183" s="403"/>
      <c r="T183" s="407"/>
      <c r="U183" s="407"/>
      <c r="V183" s="407"/>
      <c r="W183" s="403"/>
      <c r="X183" s="403"/>
      <c r="Y183" s="403"/>
      <c r="Z183" s="403"/>
      <c r="AA183" s="403"/>
      <c r="AB183" s="403"/>
      <c r="AC183" s="403"/>
      <c r="AD183" s="403"/>
      <c r="AE183" s="403"/>
      <c r="AF183" s="403"/>
      <c r="AG183" s="403"/>
      <c r="AH183" s="403"/>
      <c r="AI183" s="403"/>
      <c r="AJ183" s="403"/>
      <c r="AK183" s="403"/>
      <c r="AL183" s="403"/>
      <c r="AM183" s="403"/>
    </row>
    <row r="184" spans="1:39" hidden="1" x14ac:dyDescent="0.2">
      <c r="A184" s="403"/>
      <c r="B184" s="403"/>
      <c r="C184" s="403"/>
      <c r="D184" s="403"/>
      <c r="E184" s="403"/>
      <c r="F184" s="403"/>
      <c r="G184" s="403"/>
      <c r="H184" s="403"/>
      <c r="I184" s="403"/>
      <c r="J184" s="403"/>
      <c r="K184" s="403"/>
      <c r="L184" s="407"/>
      <c r="M184" s="407"/>
      <c r="N184" s="407"/>
      <c r="O184" s="403"/>
      <c r="P184" s="403"/>
      <c r="Q184" s="403"/>
      <c r="R184" s="403"/>
      <c r="S184" s="403"/>
      <c r="T184" s="407"/>
      <c r="U184" s="407"/>
      <c r="V184" s="407"/>
      <c r="W184" s="403"/>
      <c r="X184" s="403"/>
      <c r="Y184" s="403"/>
      <c r="Z184" s="403"/>
      <c r="AA184" s="403"/>
      <c r="AB184" s="403"/>
      <c r="AC184" s="403"/>
      <c r="AD184" s="403"/>
      <c r="AE184" s="403"/>
      <c r="AF184" s="403"/>
      <c r="AG184" s="403"/>
      <c r="AH184" s="403"/>
      <c r="AI184" s="403"/>
      <c r="AJ184" s="403"/>
      <c r="AK184" s="403"/>
      <c r="AL184" s="403"/>
      <c r="AM184" s="403"/>
    </row>
    <row r="185" spans="1:39" hidden="1" x14ac:dyDescent="0.2">
      <c r="A185" s="403"/>
      <c r="B185" s="403"/>
      <c r="C185" s="403"/>
      <c r="D185" s="403"/>
      <c r="E185" s="403"/>
      <c r="F185" s="403"/>
      <c r="G185" s="403"/>
      <c r="H185" s="403"/>
      <c r="I185" s="403"/>
      <c r="J185" s="403"/>
      <c r="K185" s="403"/>
      <c r="L185" s="407"/>
      <c r="M185" s="407"/>
      <c r="N185" s="407"/>
      <c r="O185" s="403"/>
      <c r="P185" s="403"/>
      <c r="Q185" s="403"/>
      <c r="R185" s="403"/>
      <c r="S185" s="403"/>
      <c r="T185" s="407"/>
      <c r="U185" s="407"/>
      <c r="V185" s="407"/>
      <c r="W185" s="403"/>
      <c r="X185" s="403"/>
      <c r="Y185" s="403"/>
      <c r="Z185" s="403"/>
      <c r="AA185" s="403"/>
      <c r="AB185" s="403"/>
      <c r="AC185" s="403"/>
      <c r="AD185" s="403"/>
      <c r="AE185" s="403"/>
      <c r="AF185" s="403"/>
      <c r="AG185" s="403"/>
      <c r="AH185" s="403"/>
      <c r="AI185" s="403"/>
      <c r="AJ185" s="403"/>
      <c r="AK185" s="403"/>
      <c r="AL185" s="403"/>
      <c r="AM185" s="403"/>
    </row>
    <row r="186" spans="1:39" hidden="1" x14ac:dyDescent="0.2">
      <c r="A186" s="403"/>
      <c r="B186" s="403"/>
      <c r="C186" s="403"/>
      <c r="D186" s="403"/>
      <c r="E186" s="403"/>
      <c r="F186" s="403"/>
      <c r="G186" s="403"/>
      <c r="H186" s="403"/>
      <c r="I186" s="403"/>
      <c r="J186" s="403"/>
      <c r="K186" s="403"/>
      <c r="L186" s="407"/>
      <c r="M186" s="407"/>
      <c r="N186" s="407"/>
      <c r="O186" s="403"/>
      <c r="P186" s="403"/>
      <c r="Q186" s="403"/>
      <c r="R186" s="403"/>
      <c r="S186" s="403"/>
      <c r="T186" s="407"/>
      <c r="U186" s="407"/>
      <c r="V186" s="407"/>
      <c r="W186" s="403"/>
      <c r="X186" s="403"/>
      <c r="Y186" s="403"/>
      <c r="Z186" s="403"/>
      <c r="AA186" s="403"/>
      <c r="AB186" s="403"/>
      <c r="AC186" s="403"/>
      <c r="AD186" s="403"/>
      <c r="AE186" s="403"/>
      <c r="AF186" s="403"/>
      <c r="AG186" s="403"/>
      <c r="AH186" s="403"/>
      <c r="AI186" s="403"/>
      <c r="AJ186" s="403"/>
      <c r="AK186" s="403"/>
      <c r="AL186" s="403"/>
      <c r="AM186" s="403"/>
    </row>
    <row r="187" spans="1:39" hidden="1" x14ac:dyDescent="0.2">
      <c r="A187" s="403"/>
      <c r="B187" s="403"/>
      <c r="C187" s="403"/>
      <c r="D187" s="403"/>
      <c r="E187" s="403"/>
      <c r="F187" s="403"/>
      <c r="G187" s="403"/>
      <c r="H187" s="403"/>
      <c r="I187" s="403"/>
      <c r="J187" s="403"/>
      <c r="K187" s="403"/>
      <c r="L187" s="407"/>
      <c r="M187" s="407"/>
      <c r="N187" s="407"/>
      <c r="O187" s="403"/>
      <c r="P187" s="403"/>
      <c r="Q187" s="403"/>
      <c r="R187" s="403"/>
      <c r="S187" s="403"/>
      <c r="T187" s="407"/>
      <c r="U187" s="407"/>
      <c r="V187" s="407"/>
      <c r="W187" s="403"/>
      <c r="X187" s="403"/>
      <c r="Y187" s="403"/>
      <c r="Z187" s="403"/>
      <c r="AA187" s="403"/>
      <c r="AB187" s="403"/>
      <c r="AC187" s="403"/>
      <c r="AD187" s="403"/>
      <c r="AE187" s="403"/>
      <c r="AF187" s="403"/>
      <c r="AG187" s="403"/>
      <c r="AH187" s="403"/>
      <c r="AI187" s="403"/>
      <c r="AJ187" s="403"/>
      <c r="AK187" s="403"/>
      <c r="AL187" s="403"/>
      <c r="AM187" s="403"/>
    </row>
    <row r="188" spans="1:39" hidden="1" x14ac:dyDescent="0.2">
      <c r="A188" s="403"/>
      <c r="B188" s="403"/>
      <c r="C188" s="403"/>
      <c r="D188" s="403"/>
      <c r="E188" s="403"/>
      <c r="F188" s="403"/>
      <c r="G188" s="403"/>
      <c r="H188" s="403"/>
      <c r="I188" s="403"/>
      <c r="J188" s="403"/>
      <c r="K188" s="403"/>
      <c r="L188" s="407"/>
      <c r="M188" s="407"/>
      <c r="N188" s="407"/>
      <c r="O188" s="403"/>
      <c r="P188" s="403"/>
      <c r="Q188" s="403"/>
      <c r="R188" s="403"/>
      <c r="S188" s="403"/>
      <c r="T188" s="407"/>
      <c r="U188" s="407"/>
      <c r="V188" s="407"/>
      <c r="W188" s="403"/>
      <c r="X188" s="403"/>
      <c r="Y188" s="403"/>
      <c r="Z188" s="403"/>
      <c r="AA188" s="403"/>
      <c r="AB188" s="403"/>
      <c r="AC188" s="403"/>
      <c r="AD188" s="403"/>
      <c r="AE188" s="403"/>
      <c r="AF188" s="403"/>
      <c r="AG188" s="403"/>
      <c r="AH188" s="403"/>
      <c r="AI188" s="403"/>
      <c r="AJ188" s="403"/>
      <c r="AK188" s="403"/>
      <c r="AL188" s="403"/>
      <c r="AM188" s="403"/>
    </row>
    <row r="189" spans="1:39" hidden="1" x14ac:dyDescent="0.2">
      <c r="A189" s="403"/>
      <c r="B189" s="403"/>
      <c r="C189" s="403"/>
      <c r="D189" s="403"/>
      <c r="E189" s="403"/>
      <c r="F189" s="403"/>
      <c r="G189" s="403"/>
      <c r="H189" s="403"/>
      <c r="I189" s="403"/>
      <c r="J189" s="403"/>
      <c r="K189" s="403"/>
      <c r="L189" s="407"/>
      <c r="M189" s="407"/>
      <c r="N189" s="407"/>
      <c r="O189" s="403"/>
      <c r="P189" s="403"/>
      <c r="Q189" s="403"/>
      <c r="R189" s="403"/>
      <c r="S189" s="403"/>
      <c r="T189" s="407"/>
      <c r="U189" s="407"/>
      <c r="V189" s="407"/>
      <c r="W189" s="403"/>
      <c r="X189" s="403"/>
      <c r="Y189" s="403"/>
      <c r="Z189" s="403"/>
      <c r="AA189" s="403"/>
      <c r="AB189" s="403"/>
      <c r="AC189" s="403"/>
      <c r="AD189" s="403"/>
      <c r="AE189" s="403"/>
      <c r="AF189" s="403"/>
      <c r="AG189" s="403"/>
      <c r="AH189" s="403"/>
      <c r="AI189" s="403"/>
      <c r="AJ189" s="403"/>
      <c r="AK189" s="403"/>
      <c r="AL189" s="403"/>
      <c r="AM189" s="403"/>
    </row>
    <row r="190" spans="1:39" hidden="1" x14ac:dyDescent="0.2">
      <c r="A190" s="403"/>
      <c r="B190" s="403"/>
      <c r="C190" s="403"/>
      <c r="D190" s="403"/>
      <c r="E190" s="403"/>
      <c r="F190" s="403"/>
      <c r="G190" s="403"/>
      <c r="H190" s="403"/>
      <c r="I190" s="403"/>
      <c r="J190" s="403"/>
      <c r="K190" s="403"/>
      <c r="L190" s="407"/>
      <c r="M190" s="407"/>
      <c r="N190" s="407"/>
      <c r="O190" s="403"/>
      <c r="P190" s="403"/>
      <c r="Q190" s="403"/>
      <c r="R190" s="403"/>
      <c r="S190" s="403"/>
      <c r="T190" s="407"/>
      <c r="U190" s="407"/>
      <c r="V190" s="407"/>
      <c r="W190" s="403"/>
      <c r="X190" s="403"/>
      <c r="Y190" s="403"/>
      <c r="Z190" s="403"/>
      <c r="AA190" s="403"/>
      <c r="AB190" s="403"/>
      <c r="AC190" s="403"/>
      <c r="AD190" s="403"/>
      <c r="AE190" s="403"/>
      <c r="AF190" s="403"/>
      <c r="AG190" s="403"/>
      <c r="AH190" s="403"/>
      <c r="AI190" s="403"/>
      <c r="AJ190" s="403"/>
      <c r="AK190" s="403"/>
      <c r="AL190" s="403"/>
      <c r="AM190" s="403"/>
    </row>
    <row r="191" spans="1:39" hidden="1" x14ac:dyDescent="0.2">
      <c r="A191" s="403"/>
      <c r="B191" s="403"/>
      <c r="C191" s="403"/>
      <c r="D191" s="403"/>
      <c r="E191" s="403"/>
      <c r="F191" s="403"/>
      <c r="G191" s="403"/>
      <c r="H191" s="403"/>
      <c r="I191" s="403"/>
      <c r="J191" s="403"/>
      <c r="K191" s="403"/>
      <c r="L191" s="407"/>
      <c r="M191" s="407"/>
      <c r="N191" s="407"/>
      <c r="O191" s="403"/>
      <c r="P191" s="403"/>
      <c r="Q191" s="403"/>
      <c r="R191" s="403"/>
      <c r="S191" s="403"/>
      <c r="T191" s="407"/>
      <c r="U191" s="407"/>
      <c r="V191" s="407"/>
      <c r="W191" s="403"/>
      <c r="X191" s="403"/>
      <c r="Y191" s="403"/>
      <c r="Z191" s="403"/>
      <c r="AA191" s="403"/>
      <c r="AB191" s="403"/>
      <c r="AC191" s="403"/>
      <c r="AD191" s="403"/>
      <c r="AE191" s="403"/>
      <c r="AF191" s="403"/>
      <c r="AG191" s="403"/>
      <c r="AH191" s="403"/>
      <c r="AI191" s="403"/>
      <c r="AJ191" s="403"/>
      <c r="AK191" s="403"/>
      <c r="AL191" s="403"/>
      <c r="AM191" s="403"/>
    </row>
    <row r="192" spans="1:39" hidden="1" x14ac:dyDescent="0.2">
      <c r="A192" s="403"/>
      <c r="B192" s="403"/>
      <c r="C192" s="403"/>
      <c r="D192" s="403"/>
      <c r="E192" s="403"/>
      <c r="F192" s="403"/>
      <c r="G192" s="403"/>
      <c r="H192" s="403"/>
      <c r="I192" s="403"/>
      <c r="J192" s="403"/>
      <c r="K192" s="403"/>
      <c r="L192" s="407"/>
      <c r="M192" s="407"/>
      <c r="N192" s="407"/>
      <c r="O192" s="403"/>
      <c r="P192" s="403"/>
      <c r="Q192" s="403"/>
      <c r="R192" s="403"/>
      <c r="S192" s="403"/>
      <c r="T192" s="407"/>
      <c r="U192" s="407"/>
      <c r="V192" s="407"/>
      <c r="W192" s="403"/>
      <c r="X192" s="403"/>
      <c r="Y192" s="403"/>
      <c r="Z192" s="403"/>
      <c r="AA192" s="403"/>
      <c r="AB192" s="403"/>
      <c r="AC192" s="403"/>
      <c r="AD192" s="403"/>
      <c r="AE192" s="403"/>
      <c r="AF192" s="403"/>
      <c r="AG192" s="403"/>
      <c r="AH192" s="403"/>
      <c r="AI192" s="403"/>
      <c r="AJ192" s="403"/>
      <c r="AK192" s="403"/>
      <c r="AL192" s="403"/>
      <c r="AM192" s="403"/>
    </row>
    <row r="193" spans="1:39" hidden="1" x14ac:dyDescent="0.2">
      <c r="A193" s="403"/>
      <c r="B193" s="403"/>
      <c r="C193" s="403"/>
      <c r="D193" s="403"/>
      <c r="E193" s="403"/>
      <c r="F193" s="403"/>
      <c r="G193" s="403"/>
      <c r="H193" s="403"/>
      <c r="I193" s="403"/>
      <c r="J193" s="403"/>
      <c r="K193" s="403"/>
      <c r="L193" s="407"/>
      <c r="M193" s="407"/>
      <c r="N193" s="407"/>
      <c r="O193" s="403"/>
      <c r="P193" s="403"/>
      <c r="Q193" s="403"/>
      <c r="R193" s="403"/>
      <c r="S193" s="403"/>
      <c r="T193" s="407"/>
      <c r="U193" s="407"/>
      <c r="V193" s="407"/>
      <c r="W193" s="403"/>
      <c r="X193" s="403"/>
      <c r="Y193" s="403"/>
      <c r="Z193" s="403"/>
      <c r="AA193" s="403"/>
      <c r="AB193" s="403"/>
      <c r="AC193" s="403"/>
      <c r="AD193" s="403"/>
      <c r="AE193" s="403"/>
      <c r="AF193" s="403"/>
      <c r="AG193" s="403"/>
      <c r="AH193" s="403"/>
      <c r="AI193" s="403"/>
      <c r="AJ193" s="403"/>
      <c r="AK193" s="403"/>
      <c r="AL193" s="403"/>
      <c r="AM193" s="403"/>
    </row>
    <row r="194" spans="1:39" hidden="1" x14ac:dyDescent="0.2">
      <c r="A194" s="403"/>
      <c r="B194" s="403"/>
      <c r="C194" s="403"/>
      <c r="D194" s="403"/>
      <c r="E194" s="403"/>
      <c r="F194" s="403"/>
      <c r="G194" s="403"/>
      <c r="H194" s="403"/>
      <c r="I194" s="403"/>
      <c r="J194" s="403"/>
      <c r="K194" s="403"/>
      <c r="L194" s="407"/>
      <c r="M194" s="407"/>
      <c r="N194" s="407"/>
      <c r="O194" s="403"/>
      <c r="P194" s="403"/>
      <c r="Q194" s="403"/>
      <c r="R194" s="403"/>
      <c r="S194" s="403"/>
      <c r="T194" s="407"/>
      <c r="U194" s="407"/>
      <c r="V194" s="407"/>
      <c r="W194" s="403"/>
      <c r="X194" s="403"/>
      <c r="Y194" s="403"/>
      <c r="Z194" s="403"/>
      <c r="AA194" s="403"/>
      <c r="AB194" s="403"/>
      <c r="AC194" s="403"/>
      <c r="AD194" s="403"/>
      <c r="AE194" s="403"/>
      <c r="AF194" s="403"/>
      <c r="AG194" s="403"/>
      <c r="AH194" s="403"/>
      <c r="AI194" s="403"/>
      <c r="AJ194" s="403"/>
      <c r="AK194" s="403"/>
      <c r="AL194" s="403"/>
      <c r="AM194" s="403"/>
    </row>
    <row r="195" spans="1:39" hidden="1" x14ac:dyDescent="0.2">
      <c r="A195" s="403"/>
      <c r="B195" s="403"/>
      <c r="C195" s="403"/>
      <c r="D195" s="403"/>
      <c r="E195" s="403"/>
      <c r="F195" s="403"/>
      <c r="G195" s="403"/>
      <c r="H195" s="403"/>
      <c r="I195" s="403"/>
      <c r="J195" s="403"/>
      <c r="K195" s="403"/>
      <c r="L195" s="407"/>
      <c r="M195" s="407"/>
      <c r="N195" s="407"/>
      <c r="O195" s="403"/>
      <c r="P195" s="403"/>
      <c r="Q195" s="403"/>
      <c r="R195" s="403"/>
      <c r="S195" s="403"/>
      <c r="T195" s="407"/>
      <c r="U195" s="407"/>
      <c r="V195" s="407"/>
      <c r="W195" s="403"/>
      <c r="X195" s="403"/>
      <c r="Y195" s="403"/>
      <c r="Z195" s="403"/>
      <c r="AA195" s="403"/>
      <c r="AB195" s="403"/>
      <c r="AC195" s="403"/>
      <c r="AD195" s="403"/>
      <c r="AE195" s="403"/>
      <c r="AF195" s="403"/>
      <c r="AG195" s="403"/>
      <c r="AH195" s="403"/>
      <c r="AI195" s="403"/>
      <c r="AJ195" s="403"/>
      <c r="AK195" s="403"/>
      <c r="AL195" s="403"/>
      <c r="AM195" s="403"/>
    </row>
    <row r="196" spans="1:39" hidden="1" x14ac:dyDescent="0.2">
      <c r="A196" s="403"/>
      <c r="B196" s="403"/>
      <c r="C196" s="403"/>
      <c r="D196" s="403"/>
      <c r="E196" s="403"/>
      <c r="F196" s="403"/>
      <c r="G196" s="403"/>
      <c r="H196" s="403"/>
      <c r="I196" s="403"/>
      <c r="J196" s="403"/>
      <c r="K196" s="403"/>
      <c r="L196" s="407"/>
      <c r="M196" s="407"/>
      <c r="N196" s="407"/>
      <c r="O196" s="403"/>
      <c r="P196" s="403"/>
      <c r="Q196" s="403"/>
      <c r="R196" s="403"/>
      <c r="S196" s="403"/>
      <c r="T196" s="407"/>
      <c r="U196" s="407"/>
      <c r="V196" s="407"/>
      <c r="W196" s="403"/>
      <c r="X196" s="403"/>
      <c r="Y196" s="403"/>
      <c r="Z196" s="403"/>
      <c r="AA196" s="403"/>
      <c r="AB196" s="403"/>
      <c r="AC196" s="403"/>
      <c r="AD196" s="403"/>
      <c r="AE196" s="403"/>
      <c r="AF196" s="403"/>
      <c r="AG196" s="403"/>
      <c r="AH196" s="403"/>
      <c r="AI196" s="403"/>
      <c r="AJ196" s="403"/>
      <c r="AK196" s="403"/>
      <c r="AL196" s="403"/>
      <c r="AM196" s="403"/>
    </row>
    <row r="197" spans="1:39" hidden="1" x14ac:dyDescent="0.2">
      <c r="A197" s="403"/>
      <c r="B197" s="403"/>
      <c r="C197" s="403"/>
      <c r="D197" s="403"/>
      <c r="E197" s="403"/>
      <c r="F197" s="403"/>
      <c r="G197" s="403"/>
      <c r="H197" s="403"/>
      <c r="I197" s="403"/>
      <c r="J197" s="403"/>
      <c r="K197" s="403"/>
      <c r="L197" s="407"/>
      <c r="M197" s="407"/>
      <c r="N197" s="407"/>
      <c r="O197" s="403"/>
      <c r="P197" s="403"/>
      <c r="Q197" s="403"/>
      <c r="R197" s="403"/>
      <c r="S197" s="403"/>
      <c r="T197" s="407"/>
      <c r="U197" s="407"/>
      <c r="V197" s="407"/>
      <c r="W197" s="403"/>
      <c r="X197" s="403"/>
      <c r="Y197" s="403"/>
      <c r="Z197" s="403"/>
      <c r="AA197" s="403"/>
      <c r="AB197" s="403"/>
      <c r="AC197" s="403"/>
      <c r="AD197" s="403"/>
      <c r="AE197" s="403"/>
      <c r="AF197" s="403"/>
      <c r="AG197" s="403"/>
      <c r="AH197" s="403"/>
      <c r="AI197" s="403"/>
      <c r="AJ197" s="403"/>
      <c r="AK197" s="403"/>
      <c r="AL197" s="403"/>
      <c r="AM197" s="403"/>
    </row>
    <row r="198" spans="1:39" hidden="1" x14ac:dyDescent="0.2">
      <c r="A198" s="403"/>
      <c r="B198" s="403"/>
      <c r="C198" s="403"/>
      <c r="D198" s="403"/>
      <c r="E198" s="403"/>
      <c r="F198" s="403"/>
      <c r="G198" s="403"/>
      <c r="H198" s="403"/>
      <c r="I198" s="403"/>
      <c r="J198" s="403"/>
      <c r="K198" s="403"/>
      <c r="L198" s="407"/>
      <c r="M198" s="407"/>
      <c r="N198" s="407"/>
      <c r="O198" s="403"/>
      <c r="P198" s="403"/>
      <c r="Q198" s="403"/>
      <c r="R198" s="403"/>
      <c r="S198" s="403"/>
      <c r="T198" s="407"/>
      <c r="U198" s="407"/>
      <c r="V198" s="407"/>
      <c r="W198" s="403"/>
      <c r="X198" s="403"/>
      <c r="Y198" s="403"/>
      <c r="Z198" s="403"/>
      <c r="AA198" s="403"/>
      <c r="AB198" s="403"/>
      <c r="AC198" s="403"/>
      <c r="AD198" s="403"/>
      <c r="AE198" s="403"/>
      <c r="AF198" s="403"/>
      <c r="AG198" s="403"/>
      <c r="AH198" s="403"/>
      <c r="AI198" s="403"/>
      <c r="AJ198" s="403"/>
      <c r="AK198" s="403"/>
      <c r="AL198" s="403"/>
      <c r="AM198" s="403"/>
    </row>
    <row r="199" spans="1:39" hidden="1" x14ac:dyDescent="0.2">
      <c r="A199" s="403"/>
      <c r="B199" s="403"/>
      <c r="C199" s="403"/>
      <c r="D199" s="403"/>
      <c r="E199" s="403"/>
      <c r="F199" s="403"/>
      <c r="G199" s="403"/>
      <c r="H199" s="403"/>
      <c r="I199" s="403"/>
      <c r="J199" s="403"/>
      <c r="K199" s="403"/>
      <c r="L199" s="407"/>
      <c r="M199" s="407"/>
      <c r="N199" s="407"/>
      <c r="O199" s="403"/>
      <c r="P199" s="403"/>
      <c r="Q199" s="403"/>
      <c r="R199" s="403"/>
      <c r="S199" s="403"/>
      <c r="T199" s="407"/>
      <c r="U199" s="407"/>
      <c r="V199" s="407"/>
      <c r="W199" s="403"/>
      <c r="X199" s="403"/>
      <c r="Y199" s="403"/>
      <c r="Z199" s="403"/>
      <c r="AA199" s="403"/>
      <c r="AB199" s="403"/>
      <c r="AC199" s="403"/>
      <c r="AD199" s="403"/>
      <c r="AE199" s="403"/>
      <c r="AF199" s="403"/>
      <c r="AG199" s="403"/>
      <c r="AH199" s="403"/>
      <c r="AI199" s="403"/>
      <c r="AJ199" s="403"/>
      <c r="AK199" s="403"/>
      <c r="AL199" s="403"/>
      <c r="AM199" s="403"/>
    </row>
    <row r="200" spans="1:39" hidden="1" x14ac:dyDescent="0.2">
      <c r="A200" s="403"/>
      <c r="B200" s="403"/>
      <c r="C200" s="403"/>
      <c r="D200" s="403"/>
      <c r="E200" s="403"/>
      <c r="F200" s="403"/>
      <c r="G200" s="403"/>
      <c r="H200" s="403"/>
      <c r="I200" s="403"/>
      <c r="J200" s="403"/>
      <c r="K200" s="403"/>
      <c r="L200" s="407"/>
      <c r="M200" s="407"/>
      <c r="N200" s="407"/>
      <c r="O200" s="403"/>
      <c r="P200" s="403"/>
      <c r="Q200" s="403"/>
      <c r="R200" s="403"/>
      <c r="S200" s="403"/>
      <c r="T200" s="407"/>
      <c r="U200" s="407"/>
      <c r="V200" s="407"/>
      <c r="W200" s="403"/>
      <c r="X200" s="403"/>
      <c r="Y200" s="403"/>
      <c r="Z200" s="403"/>
      <c r="AA200" s="403"/>
      <c r="AB200" s="403"/>
      <c r="AC200" s="403"/>
      <c r="AD200" s="403"/>
      <c r="AE200" s="403"/>
      <c r="AF200" s="403"/>
      <c r="AG200" s="403"/>
      <c r="AH200" s="403"/>
      <c r="AI200" s="403"/>
      <c r="AJ200" s="403"/>
      <c r="AK200" s="403"/>
      <c r="AL200" s="403"/>
      <c r="AM200" s="403"/>
    </row>
    <row r="201" spans="1:39" hidden="1" x14ac:dyDescent="0.2">
      <c r="A201" s="403"/>
      <c r="B201" s="403"/>
      <c r="C201" s="403"/>
      <c r="D201" s="403"/>
      <c r="E201" s="403"/>
      <c r="F201" s="403"/>
      <c r="G201" s="403"/>
      <c r="H201" s="403"/>
      <c r="I201" s="403"/>
      <c r="J201" s="403"/>
      <c r="K201" s="403"/>
      <c r="L201" s="407"/>
      <c r="M201" s="407"/>
      <c r="N201" s="407"/>
      <c r="O201" s="403"/>
      <c r="P201" s="403"/>
      <c r="Q201" s="403"/>
      <c r="R201" s="403"/>
      <c r="S201" s="403"/>
      <c r="T201" s="407"/>
      <c r="U201" s="407"/>
      <c r="V201" s="407"/>
      <c r="W201" s="403"/>
      <c r="X201" s="403"/>
      <c r="Y201" s="403"/>
      <c r="Z201" s="403"/>
      <c r="AA201" s="403"/>
      <c r="AB201" s="403"/>
      <c r="AC201" s="403"/>
      <c r="AD201" s="403"/>
      <c r="AE201" s="403"/>
      <c r="AF201" s="403"/>
      <c r="AG201" s="403"/>
      <c r="AH201" s="403"/>
      <c r="AI201" s="403"/>
      <c r="AJ201" s="403"/>
      <c r="AK201" s="403"/>
      <c r="AL201" s="403"/>
      <c r="AM201" s="403"/>
    </row>
    <row r="202" spans="1:39" hidden="1" x14ac:dyDescent="0.2">
      <c r="A202" s="403"/>
      <c r="B202" s="403"/>
      <c r="C202" s="403"/>
      <c r="D202" s="403"/>
      <c r="E202" s="403"/>
      <c r="F202" s="403"/>
      <c r="G202" s="403"/>
      <c r="H202" s="403"/>
      <c r="I202" s="403"/>
      <c r="J202" s="403"/>
      <c r="K202" s="403"/>
      <c r="L202" s="407"/>
      <c r="M202" s="407"/>
      <c r="N202" s="407"/>
      <c r="O202" s="403"/>
      <c r="P202" s="403"/>
      <c r="Q202" s="403"/>
      <c r="R202" s="403"/>
      <c r="S202" s="403"/>
      <c r="T202" s="407"/>
      <c r="U202" s="407"/>
      <c r="V202" s="407"/>
      <c r="W202" s="403"/>
      <c r="X202" s="403"/>
      <c r="Y202" s="403"/>
      <c r="Z202" s="403"/>
      <c r="AA202" s="403"/>
      <c r="AB202" s="403"/>
      <c r="AC202" s="403"/>
      <c r="AD202" s="403"/>
      <c r="AE202" s="403"/>
      <c r="AF202" s="403"/>
      <c r="AG202" s="403"/>
      <c r="AH202" s="403"/>
      <c r="AI202" s="403"/>
      <c r="AJ202" s="403"/>
      <c r="AK202" s="403"/>
      <c r="AL202" s="403"/>
      <c r="AM202" s="403"/>
    </row>
    <row r="203" spans="1:39" hidden="1" x14ac:dyDescent="0.2">
      <c r="A203" s="403"/>
      <c r="B203" s="403"/>
      <c r="C203" s="403"/>
      <c r="D203" s="403"/>
      <c r="E203" s="403"/>
      <c r="F203" s="403"/>
      <c r="G203" s="403"/>
      <c r="H203" s="403"/>
      <c r="I203" s="403"/>
      <c r="J203" s="403"/>
      <c r="K203" s="403"/>
      <c r="L203" s="407"/>
      <c r="M203" s="407"/>
      <c r="N203" s="407"/>
      <c r="O203" s="403"/>
      <c r="P203" s="403"/>
      <c r="Q203" s="403"/>
      <c r="R203" s="403"/>
      <c r="S203" s="403"/>
      <c r="T203" s="407"/>
      <c r="U203" s="407"/>
      <c r="V203" s="407"/>
      <c r="W203" s="403"/>
      <c r="X203" s="403"/>
      <c r="Y203" s="403"/>
      <c r="Z203" s="403"/>
      <c r="AA203" s="403"/>
      <c r="AB203" s="403"/>
      <c r="AC203" s="403"/>
      <c r="AD203" s="403"/>
      <c r="AE203" s="403"/>
      <c r="AF203" s="403"/>
      <c r="AG203" s="403"/>
      <c r="AH203" s="403"/>
      <c r="AI203" s="403"/>
      <c r="AJ203" s="403"/>
      <c r="AK203" s="403"/>
      <c r="AL203" s="403"/>
      <c r="AM203" s="403"/>
    </row>
    <row r="204" spans="1:39" hidden="1" x14ac:dyDescent="0.2">
      <c r="A204" s="403"/>
      <c r="B204" s="403"/>
      <c r="C204" s="403"/>
      <c r="D204" s="403"/>
      <c r="E204" s="403"/>
      <c r="F204" s="403"/>
      <c r="G204" s="403"/>
      <c r="H204" s="403"/>
      <c r="I204" s="403"/>
      <c r="J204" s="403"/>
      <c r="K204" s="403"/>
      <c r="L204" s="407"/>
      <c r="M204" s="407"/>
      <c r="N204" s="407"/>
      <c r="O204" s="403"/>
      <c r="P204" s="403"/>
      <c r="Q204" s="403"/>
      <c r="R204" s="403"/>
      <c r="S204" s="403"/>
      <c r="T204" s="407"/>
      <c r="U204" s="407"/>
      <c r="V204" s="407"/>
      <c r="W204" s="403"/>
      <c r="X204" s="403"/>
      <c r="Y204" s="403"/>
      <c r="Z204" s="403"/>
      <c r="AA204" s="403"/>
      <c r="AB204" s="403"/>
      <c r="AC204" s="403"/>
      <c r="AD204" s="403"/>
      <c r="AE204" s="403"/>
      <c r="AF204" s="403"/>
      <c r="AG204" s="403"/>
      <c r="AH204" s="403"/>
      <c r="AI204" s="403"/>
      <c r="AJ204" s="403"/>
      <c r="AK204" s="403"/>
      <c r="AL204" s="403"/>
      <c r="AM204" s="403"/>
    </row>
    <row r="205" spans="1:39" hidden="1" x14ac:dyDescent="0.2">
      <c r="A205" s="403"/>
      <c r="B205" s="403"/>
      <c r="C205" s="403"/>
      <c r="D205" s="403"/>
      <c r="E205" s="403"/>
      <c r="F205" s="403"/>
      <c r="G205" s="403"/>
      <c r="H205" s="403"/>
      <c r="I205" s="403"/>
      <c r="J205" s="403"/>
      <c r="K205" s="403"/>
      <c r="L205" s="407"/>
      <c r="M205" s="407"/>
      <c r="N205" s="407"/>
      <c r="O205" s="403"/>
      <c r="P205" s="403"/>
      <c r="Q205" s="403"/>
      <c r="R205" s="403"/>
      <c r="S205" s="403"/>
      <c r="T205" s="407"/>
      <c r="U205" s="407"/>
      <c r="V205" s="407"/>
      <c r="W205" s="403"/>
      <c r="X205" s="403"/>
      <c r="Y205" s="403"/>
      <c r="Z205" s="403"/>
      <c r="AA205" s="403"/>
      <c r="AB205" s="403"/>
      <c r="AC205" s="403"/>
      <c r="AD205" s="403"/>
      <c r="AE205" s="403"/>
      <c r="AF205" s="403"/>
      <c r="AG205" s="403"/>
      <c r="AH205" s="403"/>
      <c r="AI205" s="403"/>
      <c r="AJ205" s="403"/>
      <c r="AK205" s="403"/>
      <c r="AL205" s="403"/>
      <c r="AM205" s="403"/>
    </row>
    <row r="206" spans="1:39" hidden="1" x14ac:dyDescent="0.2">
      <c r="A206" s="403"/>
      <c r="B206" s="403"/>
      <c r="C206" s="403"/>
      <c r="D206" s="403"/>
      <c r="E206" s="403"/>
      <c r="F206" s="403"/>
      <c r="G206" s="403"/>
      <c r="H206" s="403"/>
      <c r="I206" s="403"/>
      <c r="J206" s="403"/>
      <c r="K206" s="403"/>
      <c r="L206" s="407"/>
      <c r="M206" s="407"/>
      <c r="N206" s="407"/>
      <c r="O206" s="403"/>
      <c r="P206" s="403"/>
      <c r="Q206" s="403"/>
      <c r="R206" s="403"/>
      <c r="S206" s="403"/>
      <c r="T206" s="407"/>
      <c r="U206" s="407"/>
      <c r="V206" s="407"/>
      <c r="W206" s="403"/>
      <c r="X206" s="403"/>
      <c r="Y206" s="403"/>
      <c r="Z206" s="403"/>
      <c r="AA206" s="403"/>
      <c r="AB206" s="403"/>
      <c r="AC206" s="403"/>
      <c r="AD206" s="403"/>
      <c r="AE206" s="403"/>
      <c r="AF206" s="403"/>
      <c r="AG206" s="403"/>
      <c r="AH206" s="403"/>
      <c r="AI206" s="403"/>
      <c r="AJ206" s="403"/>
      <c r="AK206" s="403"/>
      <c r="AL206" s="403"/>
      <c r="AM206" s="403"/>
    </row>
    <row r="207" spans="1:39" hidden="1" x14ac:dyDescent="0.2">
      <c r="A207" s="403"/>
      <c r="B207" s="403"/>
      <c r="C207" s="403"/>
      <c r="D207" s="403"/>
      <c r="E207" s="403"/>
      <c r="F207" s="403"/>
      <c r="G207" s="403"/>
      <c r="H207" s="403"/>
      <c r="I207" s="403"/>
      <c r="J207" s="403"/>
      <c r="K207" s="403"/>
      <c r="L207" s="407"/>
      <c r="M207" s="407"/>
      <c r="N207" s="407"/>
      <c r="O207" s="403"/>
      <c r="P207" s="403"/>
      <c r="Q207" s="403"/>
      <c r="R207" s="403"/>
      <c r="S207" s="403"/>
      <c r="T207" s="407"/>
      <c r="U207" s="407"/>
      <c r="V207" s="407"/>
      <c r="W207" s="403"/>
      <c r="X207" s="403"/>
      <c r="Y207" s="403"/>
      <c r="Z207" s="403"/>
      <c r="AA207" s="403"/>
      <c r="AB207" s="403"/>
      <c r="AC207" s="403"/>
      <c r="AD207" s="403"/>
      <c r="AE207" s="403"/>
      <c r="AF207" s="403"/>
      <c r="AG207" s="403"/>
      <c r="AH207" s="403"/>
      <c r="AI207" s="403"/>
      <c r="AJ207" s="403"/>
      <c r="AK207" s="403"/>
      <c r="AL207" s="403"/>
      <c r="AM207" s="403"/>
    </row>
    <row r="208" spans="1:39" hidden="1" x14ac:dyDescent="0.2">
      <c r="A208" s="403"/>
      <c r="B208" s="403"/>
      <c r="C208" s="403"/>
      <c r="D208" s="403"/>
      <c r="E208" s="403"/>
      <c r="F208" s="403"/>
      <c r="G208" s="403"/>
      <c r="H208" s="403"/>
      <c r="I208" s="403"/>
      <c r="J208" s="403"/>
      <c r="K208" s="403"/>
      <c r="L208" s="407"/>
      <c r="M208" s="407"/>
      <c r="N208" s="407"/>
      <c r="O208" s="403"/>
      <c r="P208" s="403"/>
      <c r="Q208" s="403"/>
      <c r="R208" s="403"/>
      <c r="S208" s="403"/>
      <c r="T208" s="407"/>
      <c r="U208" s="407"/>
      <c r="V208" s="407"/>
      <c r="W208" s="403"/>
      <c r="X208" s="403"/>
      <c r="Y208" s="403"/>
      <c r="Z208" s="403"/>
      <c r="AA208" s="403"/>
      <c r="AB208" s="403"/>
      <c r="AC208" s="403"/>
      <c r="AD208" s="403"/>
      <c r="AE208" s="403"/>
      <c r="AF208" s="403"/>
      <c r="AG208" s="403"/>
      <c r="AH208" s="403"/>
      <c r="AI208" s="403"/>
      <c r="AJ208" s="403"/>
      <c r="AK208" s="403"/>
      <c r="AL208" s="403"/>
      <c r="AM208" s="403"/>
    </row>
    <row r="209" spans="1:39" hidden="1" x14ac:dyDescent="0.2">
      <c r="A209" s="403"/>
      <c r="B209" s="403"/>
      <c r="C209" s="403"/>
      <c r="D209" s="403"/>
      <c r="E209" s="403"/>
      <c r="F209" s="403"/>
      <c r="G209" s="403"/>
      <c r="H209" s="403"/>
      <c r="I209" s="403"/>
      <c r="J209" s="403"/>
      <c r="K209" s="403"/>
      <c r="L209" s="407"/>
      <c r="M209" s="407"/>
      <c r="N209" s="407"/>
      <c r="O209" s="403"/>
      <c r="P209" s="403"/>
      <c r="Q209" s="403"/>
      <c r="R209" s="403"/>
      <c r="S209" s="403"/>
      <c r="T209" s="407"/>
      <c r="U209" s="407"/>
      <c r="V209" s="407"/>
      <c r="W209" s="403"/>
      <c r="X209" s="403"/>
      <c r="Y209" s="403"/>
      <c r="Z209" s="403"/>
      <c r="AA209" s="403"/>
      <c r="AB209" s="403"/>
      <c r="AC209" s="403"/>
      <c r="AD209" s="403"/>
      <c r="AE209" s="403"/>
      <c r="AF209" s="403"/>
      <c r="AG209" s="403"/>
      <c r="AH209" s="403"/>
      <c r="AI209" s="403"/>
      <c r="AJ209" s="403"/>
      <c r="AK209" s="403"/>
      <c r="AL209" s="403"/>
      <c r="AM209" s="403"/>
    </row>
    <row r="210" spans="1:39" hidden="1" x14ac:dyDescent="0.2">
      <c r="A210" s="403"/>
      <c r="B210" s="403"/>
      <c r="C210" s="403"/>
      <c r="D210" s="403"/>
      <c r="E210" s="403"/>
      <c r="F210" s="403"/>
      <c r="G210" s="403"/>
      <c r="H210" s="403"/>
      <c r="I210" s="403"/>
      <c r="J210" s="403"/>
      <c r="K210" s="403"/>
      <c r="L210" s="407"/>
      <c r="M210" s="407"/>
      <c r="N210" s="407"/>
      <c r="O210" s="403"/>
      <c r="P210" s="403"/>
      <c r="Q210" s="403"/>
      <c r="R210" s="403"/>
      <c r="S210" s="403"/>
      <c r="T210" s="407"/>
      <c r="U210" s="407"/>
      <c r="V210" s="407"/>
      <c r="W210" s="403"/>
      <c r="X210" s="403"/>
      <c r="Y210" s="403"/>
      <c r="Z210" s="403"/>
      <c r="AA210" s="403"/>
      <c r="AB210" s="403"/>
      <c r="AC210" s="403"/>
      <c r="AD210" s="403"/>
      <c r="AE210" s="403"/>
      <c r="AF210" s="403"/>
      <c r="AG210" s="403"/>
      <c r="AH210" s="403"/>
      <c r="AI210" s="403"/>
      <c r="AJ210" s="403"/>
      <c r="AK210" s="403"/>
      <c r="AL210" s="403"/>
      <c r="AM210" s="403"/>
    </row>
    <row r="211" spans="1:39" hidden="1" x14ac:dyDescent="0.2">
      <c r="A211" s="403"/>
      <c r="B211" s="403"/>
      <c r="C211" s="403"/>
      <c r="D211" s="403"/>
      <c r="E211" s="403"/>
      <c r="F211" s="403"/>
      <c r="G211" s="403"/>
      <c r="H211" s="403"/>
      <c r="I211" s="403"/>
      <c r="J211" s="403"/>
      <c r="K211" s="403"/>
      <c r="L211" s="407"/>
      <c r="M211" s="407"/>
      <c r="N211" s="407"/>
      <c r="O211" s="403"/>
      <c r="P211" s="403"/>
      <c r="Q211" s="403"/>
      <c r="R211" s="403"/>
      <c r="S211" s="403"/>
      <c r="T211" s="407"/>
      <c r="U211" s="407"/>
      <c r="V211" s="407"/>
      <c r="W211" s="403"/>
      <c r="X211" s="403"/>
      <c r="Y211" s="403"/>
      <c r="Z211" s="403"/>
      <c r="AA211" s="403"/>
      <c r="AB211" s="403"/>
      <c r="AC211" s="403"/>
      <c r="AD211" s="403"/>
      <c r="AE211" s="403"/>
      <c r="AF211" s="403"/>
      <c r="AG211" s="403"/>
      <c r="AH211" s="403"/>
      <c r="AI211" s="403"/>
      <c r="AJ211" s="403"/>
      <c r="AK211" s="403"/>
      <c r="AL211" s="403"/>
      <c r="AM211" s="403"/>
    </row>
    <row r="212" spans="1:39" hidden="1" x14ac:dyDescent="0.2">
      <c r="A212" s="403"/>
      <c r="B212" s="403"/>
      <c r="C212" s="403"/>
      <c r="D212" s="403"/>
      <c r="E212" s="403"/>
      <c r="F212" s="403"/>
      <c r="G212" s="403"/>
      <c r="H212" s="403"/>
      <c r="I212" s="403"/>
      <c r="J212" s="403"/>
      <c r="K212" s="403"/>
      <c r="L212" s="407"/>
      <c r="M212" s="407"/>
      <c r="N212" s="407"/>
      <c r="O212" s="403"/>
      <c r="P212" s="403"/>
      <c r="Q212" s="403"/>
      <c r="R212" s="403"/>
      <c r="S212" s="403"/>
      <c r="T212" s="407"/>
      <c r="U212" s="407"/>
      <c r="V212" s="407"/>
      <c r="W212" s="403"/>
      <c r="X212" s="403"/>
      <c r="Y212" s="403"/>
      <c r="Z212" s="403"/>
      <c r="AA212" s="403"/>
      <c r="AB212" s="403"/>
      <c r="AC212" s="403"/>
      <c r="AD212" s="403"/>
      <c r="AE212" s="403"/>
      <c r="AF212" s="403"/>
      <c r="AG212" s="403"/>
      <c r="AH212" s="403"/>
      <c r="AI212" s="403"/>
      <c r="AJ212" s="403"/>
      <c r="AK212" s="403"/>
      <c r="AL212" s="403"/>
      <c r="AM212" s="403"/>
    </row>
    <row r="213" spans="1:39" hidden="1" x14ac:dyDescent="0.2">
      <c r="A213" s="403"/>
      <c r="B213" s="403"/>
      <c r="C213" s="403"/>
      <c r="D213" s="403"/>
      <c r="E213" s="403"/>
      <c r="F213" s="403"/>
      <c r="G213" s="403"/>
      <c r="H213" s="403"/>
      <c r="I213" s="403"/>
      <c r="J213" s="403"/>
      <c r="K213" s="403"/>
      <c r="L213" s="407"/>
      <c r="M213" s="407"/>
      <c r="N213" s="407"/>
      <c r="O213" s="403"/>
      <c r="P213" s="403"/>
      <c r="Q213" s="403"/>
      <c r="R213" s="403"/>
      <c r="S213" s="403"/>
      <c r="T213" s="407"/>
      <c r="U213" s="407"/>
      <c r="V213" s="407"/>
      <c r="W213" s="403"/>
      <c r="X213" s="403"/>
      <c r="Y213" s="403"/>
      <c r="Z213" s="403"/>
      <c r="AA213" s="403"/>
      <c r="AB213" s="403"/>
      <c r="AC213" s="403"/>
      <c r="AD213" s="403"/>
      <c r="AE213" s="403"/>
      <c r="AF213" s="403"/>
      <c r="AG213" s="403"/>
      <c r="AH213" s="403"/>
      <c r="AI213" s="403"/>
      <c r="AJ213" s="403"/>
      <c r="AK213" s="403"/>
      <c r="AL213" s="403"/>
      <c r="AM213" s="403"/>
    </row>
    <row r="214" spans="1:39" hidden="1" x14ac:dyDescent="0.2">
      <c r="A214" s="403"/>
      <c r="B214" s="403"/>
      <c r="C214" s="403"/>
      <c r="D214" s="403"/>
      <c r="E214" s="403"/>
      <c r="F214" s="403"/>
      <c r="G214" s="403"/>
      <c r="H214" s="403"/>
      <c r="I214" s="403"/>
      <c r="J214" s="403"/>
      <c r="K214" s="403"/>
      <c r="L214" s="407"/>
      <c r="M214" s="407"/>
      <c r="N214" s="407"/>
      <c r="O214" s="403"/>
      <c r="P214" s="403"/>
      <c r="Q214" s="403"/>
      <c r="R214" s="403"/>
      <c r="S214" s="403"/>
      <c r="T214" s="407"/>
      <c r="U214" s="407"/>
      <c r="V214" s="407"/>
      <c r="W214" s="403"/>
      <c r="X214" s="403"/>
      <c r="Y214" s="403"/>
      <c r="Z214" s="403"/>
      <c r="AA214" s="403"/>
      <c r="AB214" s="403"/>
      <c r="AC214" s="403"/>
      <c r="AD214" s="403"/>
      <c r="AE214" s="403"/>
      <c r="AF214" s="403"/>
      <c r="AG214" s="403"/>
      <c r="AH214" s="403"/>
      <c r="AI214" s="403"/>
      <c r="AJ214" s="403"/>
      <c r="AK214" s="403"/>
      <c r="AL214" s="403"/>
      <c r="AM214" s="403"/>
    </row>
    <row r="215" spans="1:39" hidden="1" x14ac:dyDescent="0.2">
      <c r="A215" s="403"/>
      <c r="B215" s="403"/>
      <c r="C215" s="403"/>
      <c r="D215" s="403"/>
      <c r="E215" s="403"/>
      <c r="F215" s="403"/>
      <c r="G215" s="403"/>
      <c r="H215" s="403"/>
      <c r="I215" s="403"/>
      <c r="J215" s="403"/>
      <c r="K215" s="403"/>
      <c r="L215" s="407"/>
      <c r="M215" s="407"/>
      <c r="N215" s="407"/>
      <c r="O215" s="403"/>
      <c r="P215" s="403"/>
      <c r="Q215" s="403"/>
      <c r="R215" s="403"/>
      <c r="S215" s="403"/>
      <c r="T215" s="407"/>
      <c r="U215" s="407"/>
      <c r="V215" s="407"/>
      <c r="W215" s="403"/>
      <c r="X215" s="403"/>
      <c r="Y215" s="403"/>
      <c r="Z215" s="403"/>
      <c r="AA215" s="403"/>
      <c r="AB215" s="403"/>
      <c r="AC215" s="403"/>
      <c r="AD215" s="403"/>
      <c r="AE215" s="403"/>
      <c r="AF215" s="403"/>
      <c r="AG215" s="403"/>
      <c r="AH215" s="403"/>
      <c r="AI215" s="403"/>
      <c r="AJ215" s="403"/>
      <c r="AK215" s="403"/>
      <c r="AL215" s="403"/>
      <c r="AM215" s="403"/>
    </row>
    <row r="216" spans="1:39" hidden="1" x14ac:dyDescent="0.2">
      <c r="A216" s="403"/>
      <c r="B216" s="403"/>
      <c r="C216" s="403"/>
      <c r="D216" s="403"/>
      <c r="E216" s="403"/>
      <c r="F216" s="403"/>
      <c r="G216" s="403"/>
      <c r="H216" s="403"/>
      <c r="I216" s="403"/>
      <c r="J216" s="403"/>
      <c r="K216" s="403"/>
      <c r="L216" s="407"/>
      <c r="M216" s="407"/>
      <c r="N216" s="407"/>
      <c r="O216" s="403"/>
      <c r="P216" s="403"/>
      <c r="Q216" s="403"/>
      <c r="R216" s="403"/>
      <c r="S216" s="403"/>
      <c r="T216" s="407"/>
      <c r="U216" s="407"/>
      <c r="V216" s="407"/>
      <c r="W216" s="403"/>
      <c r="X216" s="403"/>
      <c r="Y216" s="403"/>
      <c r="Z216" s="403"/>
      <c r="AA216" s="403"/>
      <c r="AB216" s="403"/>
      <c r="AC216" s="403"/>
      <c r="AD216" s="403"/>
      <c r="AE216" s="403"/>
      <c r="AF216" s="403"/>
      <c r="AG216" s="403"/>
      <c r="AH216" s="403"/>
      <c r="AI216" s="403"/>
      <c r="AJ216" s="403"/>
      <c r="AK216" s="403"/>
      <c r="AL216" s="403"/>
      <c r="AM216" s="403"/>
    </row>
    <row r="217" spans="1:39" hidden="1" x14ac:dyDescent="0.2">
      <c r="A217" s="403"/>
      <c r="B217" s="403"/>
      <c r="C217" s="403"/>
      <c r="D217" s="403"/>
      <c r="E217" s="403"/>
      <c r="F217" s="403"/>
      <c r="G217" s="403"/>
      <c r="H217" s="403"/>
      <c r="I217" s="403"/>
      <c r="J217" s="403"/>
      <c r="K217" s="403"/>
      <c r="L217" s="407"/>
      <c r="M217" s="407"/>
      <c r="N217" s="407"/>
      <c r="O217" s="403"/>
      <c r="P217" s="403"/>
      <c r="Q217" s="403"/>
      <c r="R217" s="403"/>
      <c r="S217" s="403"/>
      <c r="T217" s="407"/>
      <c r="U217" s="407"/>
      <c r="V217" s="407"/>
      <c r="W217" s="403"/>
      <c r="X217" s="403"/>
      <c r="Y217" s="403"/>
      <c r="Z217" s="403"/>
      <c r="AA217" s="403"/>
      <c r="AB217" s="403"/>
      <c r="AC217" s="403"/>
      <c r="AD217" s="403"/>
      <c r="AE217" s="403"/>
      <c r="AF217" s="403"/>
      <c r="AG217" s="403"/>
      <c r="AH217" s="403"/>
      <c r="AI217" s="403"/>
      <c r="AJ217" s="403"/>
      <c r="AK217" s="403"/>
      <c r="AL217" s="403"/>
      <c r="AM217" s="403"/>
    </row>
    <row r="218" spans="1:39" hidden="1" x14ac:dyDescent="0.2">
      <c r="A218" s="403"/>
      <c r="B218" s="403"/>
      <c r="C218" s="403"/>
      <c r="D218" s="403"/>
      <c r="E218" s="403"/>
      <c r="F218" s="403"/>
      <c r="G218" s="403"/>
      <c r="H218" s="403"/>
      <c r="I218" s="403"/>
      <c r="J218" s="403"/>
      <c r="K218" s="403"/>
      <c r="L218" s="407"/>
      <c r="M218" s="407"/>
      <c r="N218" s="407"/>
      <c r="O218" s="403"/>
      <c r="P218" s="403"/>
      <c r="Q218" s="403"/>
      <c r="R218" s="403"/>
      <c r="S218" s="403"/>
      <c r="T218" s="407"/>
      <c r="U218" s="407"/>
      <c r="V218" s="407"/>
      <c r="W218" s="403"/>
      <c r="X218" s="403"/>
      <c r="Y218" s="403"/>
      <c r="Z218" s="403"/>
      <c r="AA218" s="403"/>
      <c r="AB218" s="403"/>
      <c r="AC218" s="403"/>
      <c r="AD218" s="403"/>
      <c r="AE218" s="403"/>
      <c r="AF218" s="403"/>
      <c r="AG218" s="403"/>
      <c r="AH218" s="403"/>
      <c r="AI218" s="403"/>
      <c r="AJ218" s="403"/>
      <c r="AK218" s="403"/>
      <c r="AL218" s="403"/>
      <c r="AM218" s="403"/>
    </row>
    <row r="219" spans="1:39" hidden="1" x14ac:dyDescent="0.2">
      <c r="A219" s="403"/>
      <c r="B219" s="403"/>
      <c r="C219" s="403"/>
      <c r="D219" s="403"/>
      <c r="E219" s="403"/>
      <c r="F219" s="403"/>
      <c r="G219" s="403"/>
      <c r="H219" s="403"/>
      <c r="I219" s="403"/>
      <c r="J219" s="403"/>
      <c r="K219" s="403"/>
      <c r="L219" s="407"/>
      <c r="M219" s="407"/>
      <c r="N219" s="407"/>
      <c r="O219" s="403"/>
      <c r="P219" s="403"/>
      <c r="Q219" s="403"/>
      <c r="R219" s="403"/>
      <c r="S219" s="403"/>
      <c r="T219" s="407"/>
      <c r="U219" s="407"/>
      <c r="V219" s="407"/>
      <c r="W219" s="403"/>
      <c r="X219" s="403"/>
      <c r="Y219" s="403"/>
      <c r="Z219" s="403"/>
      <c r="AA219" s="403"/>
      <c r="AB219" s="403"/>
      <c r="AC219" s="403"/>
      <c r="AD219" s="403"/>
      <c r="AE219" s="403"/>
      <c r="AF219" s="403"/>
      <c r="AG219" s="403"/>
      <c r="AH219" s="403"/>
      <c r="AI219" s="403"/>
      <c r="AJ219" s="403"/>
      <c r="AK219" s="403"/>
      <c r="AL219" s="403"/>
      <c r="AM219" s="403"/>
    </row>
    <row r="220" spans="1:39" hidden="1" x14ac:dyDescent="0.2">
      <c r="A220" s="403"/>
      <c r="B220" s="403"/>
      <c r="C220" s="403"/>
      <c r="D220" s="403"/>
      <c r="E220" s="403"/>
      <c r="F220" s="403"/>
      <c r="G220" s="403"/>
      <c r="H220" s="403"/>
      <c r="I220" s="403"/>
      <c r="J220" s="403"/>
      <c r="K220" s="403"/>
      <c r="L220" s="407"/>
      <c r="M220" s="407"/>
      <c r="N220" s="407"/>
      <c r="O220" s="403"/>
      <c r="P220" s="403"/>
      <c r="Q220" s="403"/>
      <c r="R220" s="403"/>
      <c r="S220" s="403"/>
      <c r="T220" s="407"/>
      <c r="U220" s="407"/>
      <c r="V220" s="407"/>
      <c r="W220" s="403"/>
      <c r="X220" s="403"/>
      <c r="Y220" s="403"/>
      <c r="Z220" s="403"/>
      <c r="AA220" s="403"/>
      <c r="AB220" s="403"/>
      <c r="AC220" s="403"/>
      <c r="AD220" s="403"/>
      <c r="AE220" s="403"/>
      <c r="AF220" s="403"/>
      <c r="AG220" s="403"/>
      <c r="AH220" s="403"/>
      <c r="AI220" s="403"/>
      <c r="AJ220" s="403"/>
      <c r="AK220" s="403"/>
      <c r="AL220" s="403"/>
      <c r="AM220" s="403"/>
    </row>
    <row r="221" spans="1:39" hidden="1" x14ac:dyDescent="0.2">
      <c r="A221" s="403"/>
      <c r="B221" s="403"/>
      <c r="C221" s="403"/>
      <c r="D221" s="403"/>
      <c r="E221" s="403"/>
      <c r="F221" s="403"/>
      <c r="G221" s="403"/>
      <c r="H221" s="403"/>
      <c r="I221" s="403"/>
      <c r="J221" s="403"/>
      <c r="K221" s="403"/>
      <c r="L221" s="407"/>
      <c r="M221" s="407"/>
      <c r="N221" s="407"/>
      <c r="O221" s="403"/>
      <c r="P221" s="403"/>
      <c r="Q221" s="403"/>
      <c r="R221" s="403"/>
      <c r="S221" s="403"/>
      <c r="T221" s="407"/>
      <c r="U221" s="407"/>
      <c r="V221" s="407"/>
      <c r="W221" s="403"/>
      <c r="X221" s="403"/>
      <c r="Y221" s="403"/>
      <c r="Z221" s="403"/>
      <c r="AA221" s="403"/>
      <c r="AB221" s="403"/>
      <c r="AC221" s="403"/>
      <c r="AD221" s="403"/>
      <c r="AE221" s="403"/>
      <c r="AF221" s="403"/>
      <c r="AG221" s="403"/>
      <c r="AH221" s="403"/>
      <c r="AI221" s="403"/>
      <c r="AJ221" s="403"/>
      <c r="AK221" s="403"/>
      <c r="AL221" s="403"/>
      <c r="AM221" s="403"/>
    </row>
    <row r="222" spans="1:39" hidden="1" x14ac:dyDescent="0.2">
      <c r="A222" s="403"/>
      <c r="B222" s="403"/>
      <c r="C222" s="403"/>
      <c r="D222" s="403"/>
      <c r="E222" s="403"/>
      <c r="F222" s="403"/>
      <c r="G222" s="403"/>
      <c r="H222" s="403"/>
      <c r="I222" s="403"/>
      <c r="J222" s="403"/>
      <c r="K222" s="403"/>
      <c r="L222" s="407"/>
      <c r="M222" s="407"/>
      <c r="N222" s="407"/>
      <c r="O222" s="403"/>
      <c r="P222" s="403"/>
      <c r="Q222" s="403"/>
      <c r="R222" s="403"/>
      <c r="S222" s="403"/>
      <c r="T222" s="407"/>
      <c r="U222" s="407"/>
      <c r="V222" s="407"/>
      <c r="W222" s="403"/>
      <c r="X222" s="403"/>
      <c r="Y222" s="403"/>
      <c r="Z222" s="403"/>
      <c r="AA222" s="403"/>
      <c r="AB222" s="403"/>
      <c r="AC222" s="403"/>
      <c r="AD222" s="403"/>
      <c r="AE222" s="403"/>
      <c r="AF222" s="403"/>
      <c r="AG222" s="403"/>
      <c r="AH222" s="403"/>
      <c r="AI222" s="403"/>
      <c r="AJ222" s="403"/>
      <c r="AK222" s="403"/>
      <c r="AL222" s="403"/>
      <c r="AM222" s="403"/>
    </row>
    <row r="223" spans="1:39" hidden="1" x14ac:dyDescent="0.2">
      <c r="A223" s="403"/>
      <c r="B223" s="403"/>
      <c r="C223" s="403"/>
      <c r="D223" s="403"/>
      <c r="E223" s="403"/>
      <c r="F223" s="403"/>
      <c r="G223" s="403"/>
      <c r="H223" s="403"/>
      <c r="I223" s="403"/>
      <c r="J223" s="403"/>
      <c r="K223" s="403"/>
      <c r="L223" s="407"/>
      <c r="M223" s="407"/>
      <c r="N223" s="407"/>
      <c r="O223" s="403"/>
      <c r="P223" s="403"/>
      <c r="Q223" s="403"/>
      <c r="R223" s="403"/>
      <c r="S223" s="403"/>
      <c r="T223" s="407"/>
      <c r="U223" s="407"/>
      <c r="V223" s="407"/>
      <c r="W223" s="403"/>
      <c r="X223" s="403"/>
      <c r="Y223" s="403"/>
      <c r="Z223" s="403"/>
      <c r="AA223" s="403"/>
      <c r="AB223" s="403"/>
      <c r="AC223" s="403"/>
      <c r="AD223" s="403"/>
      <c r="AE223" s="403"/>
      <c r="AF223" s="403"/>
      <c r="AG223" s="403"/>
      <c r="AH223" s="403"/>
      <c r="AI223" s="403"/>
      <c r="AJ223" s="403"/>
      <c r="AK223" s="403"/>
      <c r="AL223" s="403"/>
      <c r="AM223" s="403"/>
    </row>
    <row r="224" spans="1:39" hidden="1" x14ac:dyDescent="0.2">
      <c r="A224" s="403"/>
      <c r="B224" s="403"/>
      <c r="C224" s="403"/>
      <c r="D224" s="403"/>
      <c r="E224" s="403"/>
      <c r="F224" s="403"/>
      <c r="G224" s="403"/>
      <c r="H224" s="403"/>
      <c r="I224" s="403"/>
      <c r="J224" s="403"/>
      <c r="K224" s="403"/>
      <c r="L224" s="407"/>
      <c r="M224" s="407"/>
      <c r="N224" s="407"/>
      <c r="O224" s="403"/>
      <c r="P224" s="403"/>
      <c r="Q224" s="403"/>
      <c r="R224" s="403"/>
      <c r="S224" s="403"/>
      <c r="T224" s="407"/>
      <c r="U224" s="407"/>
      <c r="V224" s="407"/>
      <c r="W224" s="403"/>
      <c r="X224" s="403"/>
      <c r="Y224" s="403"/>
      <c r="Z224" s="403"/>
      <c r="AA224" s="403"/>
      <c r="AB224" s="403"/>
      <c r="AC224" s="403"/>
      <c r="AD224" s="403"/>
      <c r="AE224" s="403"/>
      <c r="AF224" s="403"/>
      <c r="AG224" s="403"/>
      <c r="AH224" s="403"/>
      <c r="AI224" s="403"/>
      <c r="AJ224" s="403"/>
      <c r="AK224" s="403"/>
      <c r="AL224" s="403"/>
      <c r="AM224" s="403"/>
    </row>
    <row r="225" spans="1:39" hidden="1" x14ac:dyDescent="0.2">
      <c r="A225" s="403"/>
      <c r="B225" s="403"/>
      <c r="C225" s="403"/>
      <c r="D225" s="403"/>
      <c r="E225" s="403"/>
      <c r="F225" s="403"/>
      <c r="G225" s="403"/>
      <c r="H225" s="403"/>
      <c r="I225" s="403"/>
      <c r="J225" s="403"/>
      <c r="K225" s="403"/>
      <c r="L225" s="407"/>
      <c r="M225" s="407"/>
      <c r="N225" s="407"/>
      <c r="O225" s="403"/>
      <c r="P225" s="403"/>
      <c r="Q225" s="403"/>
      <c r="R225" s="403"/>
      <c r="S225" s="403"/>
      <c r="T225" s="407"/>
      <c r="U225" s="407"/>
      <c r="V225" s="407"/>
      <c r="W225" s="403"/>
      <c r="X225" s="403"/>
      <c r="Y225" s="403"/>
      <c r="Z225" s="403"/>
      <c r="AA225" s="403"/>
      <c r="AB225" s="403"/>
      <c r="AC225" s="403"/>
      <c r="AD225" s="403"/>
      <c r="AE225" s="403"/>
      <c r="AF225" s="403"/>
      <c r="AG225" s="403"/>
      <c r="AH225" s="403"/>
      <c r="AI225" s="403"/>
      <c r="AJ225" s="403"/>
      <c r="AK225" s="403"/>
      <c r="AL225" s="403"/>
      <c r="AM225" s="403"/>
    </row>
    <row r="226" spans="1:39" hidden="1" x14ac:dyDescent="0.2">
      <c r="A226" s="403"/>
      <c r="B226" s="403"/>
      <c r="C226" s="403"/>
      <c r="D226" s="403"/>
      <c r="E226" s="403"/>
      <c r="F226" s="403"/>
      <c r="G226" s="403"/>
      <c r="H226" s="403"/>
      <c r="I226" s="403"/>
      <c r="J226" s="403"/>
      <c r="K226" s="403"/>
      <c r="L226" s="407"/>
      <c r="M226" s="407"/>
      <c r="N226" s="407"/>
      <c r="O226" s="403"/>
      <c r="P226" s="403"/>
      <c r="Q226" s="403"/>
      <c r="R226" s="403"/>
      <c r="S226" s="403"/>
      <c r="T226" s="407"/>
      <c r="U226" s="407"/>
      <c r="V226" s="407"/>
      <c r="W226" s="403"/>
      <c r="X226" s="403"/>
      <c r="Y226" s="403"/>
      <c r="Z226" s="403"/>
      <c r="AA226" s="403"/>
      <c r="AB226" s="403"/>
      <c r="AC226" s="403"/>
      <c r="AD226" s="403"/>
      <c r="AE226" s="403"/>
      <c r="AF226" s="403"/>
      <c r="AG226" s="403"/>
      <c r="AH226" s="403"/>
      <c r="AI226" s="403"/>
      <c r="AJ226" s="403"/>
      <c r="AK226" s="403"/>
      <c r="AL226" s="403"/>
      <c r="AM226" s="403"/>
    </row>
    <row r="227" spans="1:39" hidden="1" x14ac:dyDescent="0.2">
      <c r="A227" s="403"/>
      <c r="B227" s="403"/>
      <c r="C227" s="403"/>
      <c r="D227" s="403"/>
      <c r="E227" s="403"/>
      <c r="F227" s="403"/>
      <c r="G227" s="403"/>
      <c r="H227" s="403"/>
      <c r="I227" s="403"/>
      <c r="J227" s="403"/>
      <c r="K227" s="403"/>
      <c r="L227" s="407"/>
      <c r="M227" s="407"/>
      <c r="N227" s="407"/>
      <c r="O227" s="403"/>
      <c r="P227" s="403"/>
      <c r="Q227" s="403"/>
      <c r="R227" s="403"/>
      <c r="S227" s="403"/>
      <c r="T227" s="407"/>
      <c r="U227" s="407"/>
      <c r="V227" s="407"/>
      <c r="W227" s="403"/>
      <c r="X227" s="403"/>
      <c r="Y227" s="403"/>
      <c r="Z227" s="403"/>
      <c r="AA227" s="403"/>
      <c r="AB227" s="403"/>
      <c r="AC227" s="403"/>
      <c r="AD227" s="403"/>
      <c r="AE227" s="403"/>
      <c r="AF227" s="403"/>
      <c r="AG227" s="403"/>
      <c r="AH227" s="403"/>
      <c r="AI227" s="403"/>
      <c r="AJ227" s="403"/>
      <c r="AK227" s="403"/>
      <c r="AL227" s="403"/>
      <c r="AM227" s="403"/>
    </row>
    <row r="228" spans="1:39" hidden="1" x14ac:dyDescent="0.2">
      <c r="A228" s="403"/>
      <c r="B228" s="403"/>
      <c r="C228" s="403"/>
      <c r="D228" s="403"/>
      <c r="E228" s="403"/>
      <c r="F228" s="403"/>
      <c r="G228" s="403"/>
      <c r="H228" s="403"/>
      <c r="I228" s="403"/>
      <c r="J228" s="403"/>
      <c r="K228" s="403"/>
      <c r="L228" s="407"/>
      <c r="M228" s="407"/>
      <c r="N228" s="407"/>
      <c r="O228" s="403"/>
      <c r="P228" s="403"/>
      <c r="Q228" s="403"/>
      <c r="R228" s="403"/>
      <c r="S228" s="403"/>
      <c r="T228" s="407"/>
      <c r="U228" s="407"/>
      <c r="V228" s="407"/>
      <c r="W228" s="403"/>
      <c r="X228" s="403"/>
      <c r="Y228" s="403"/>
      <c r="Z228" s="403"/>
      <c r="AA228" s="403"/>
      <c r="AB228" s="403"/>
      <c r="AC228" s="403"/>
      <c r="AD228" s="403"/>
      <c r="AE228" s="403"/>
      <c r="AF228" s="403"/>
      <c r="AG228" s="403"/>
      <c r="AH228" s="403"/>
      <c r="AI228" s="403"/>
      <c r="AJ228" s="403"/>
      <c r="AK228" s="403"/>
      <c r="AL228" s="403"/>
      <c r="AM228" s="403"/>
    </row>
    <row r="229" spans="1:39" hidden="1" x14ac:dyDescent="0.2">
      <c r="A229" s="403"/>
      <c r="B229" s="403"/>
      <c r="C229" s="403"/>
      <c r="D229" s="403"/>
      <c r="E229" s="403"/>
      <c r="F229" s="403"/>
      <c r="G229" s="403"/>
      <c r="H229" s="403"/>
      <c r="I229" s="403"/>
      <c r="J229" s="403"/>
      <c r="K229" s="403"/>
      <c r="L229" s="407"/>
      <c r="M229" s="407"/>
      <c r="N229" s="407"/>
      <c r="O229" s="403"/>
      <c r="P229" s="403"/>
      <c r="Q229" s="403"/>
      <c r="R229" s="403"/>
      <c r="S229" s="403"/>
      <c r="T229" s="407"/>
      <c r="U229" s="407"/>
      <c r="V229" s="407"/>
      <c r="W229" s="403"/>
      <c r="X229" s="403"/>
      <c r="Y229" s="403"/>
      <c r="Z229" s="403"/>
      <c r="AA229" s="403"/>
      <c r="AB229" s="403"/>
      <c r="AC229" s="403"/>
      <c r="AD229" s="403"/>
      <c r="AE229" s="403"/>
      <c r="AF229" s="403"/>
      <c r="AG229" s="403"/>
      <c r="AH229" s="403"/>
      <c r="AI229" s="403"/>
      <c r="AJ229" s="403"/>
      <c r="AK229" s="403"/>
      <c r="AL229" s="403"/>
      <c r="AM229" s="403"/>
    </row>
    <row r="230" spans="1:39" hidden="1" x14ac:dyDescent="0.2">
      <c r="A230" s="403"/>
      <c r="B230" s="403"/>
      <c r="C230" s="403"/>
      <c r="D230" s="403"/>
      <c r="E230" s="403"/>
      <c r="F230" s="403"/>
      <c r="G230" s="403"/>
      <c r="H230" s="403"/>
      <c r="I230" s="403"/>
      <c r="J230" s="403"/>
      <c r="K230" s="403"/>
      <c r="L230" s="407"/>
      <c r="M230" s="407"/>
      <c r="N230" s="407"/>
      <c r="O230" s="403"/>
      <c r="P230" s="403"/>
      <c r="Q230" s="403"/>
      <c r="R230" s="403"/>
      <c r="S230" s="403"/>
      <c r="T230" s="407"/>
      <c r="U230" s="407"/>
      <c r="V230" s="407"/>
      <c r="W230" s="403"/>
      <c r="X230" s="403"/>
      <c r="Y230" s="403"/>
      <c r="Z230" s="403"/>
      <c r="AA230" s="403"/>
      <c r="AB230" s="403"/>
      <c r="AC230" s="403"/>
      <c r="AD230" s="403"/>
      <c r="AE230" s="403"/>
      <c r="AF230" s="403"/>
      <c r="AG230" s="403"/>
      <c r="AH230" s="403"/>
      <c r="AI230" s="403"/>
      <c r="AJ230" s="403"/>
      <c r="AK230" s="403"/>
      <c r="AL230" s="403"/>
      <c r="AM230" s="403"/>
    </row>
    <row r="231" spans="1:39" hidden="1" x14ac:dyDescent="0.2">
      <c r="A231" s="403"/>
      <c r="B231" s="403"/>
      <c r="C231" s="403"/>
      <c r="D231" s="403"/>
      <c r="E231" s="403"/>
      <c r="F231" s="403"/>
      <c r="G231" s="403"/>
      <c r="H231" s="403"/>
      <c r="I231" s="403"/>
      <c r="J231" s="403"/>
      <c r="K231" s="403"/>
      <c r="L231" s="407"/>
      <c r="M231" s="407"/>
      <c r="N231" s="407"/>
      <c r="O231" s="403"/>
      <c r="P231" s="403"/>
      <c r="Q231" s="403"/>
      <c r="R231" s="403"/>
      <c r="S231" s="403"/>
      <c r="T231" s="407"/>
      <c r="U231" s="407"/>
      <c r="V231" s="407"/>
      <c r="W231" s="403"/>
      <c r="X231" s="403"/>
      <c r="Y231" s="403"/>
      <c r="Z231" s="403"/>
      <c r="AA231" s="403"/>
      <c r="AB231" s="403"/>
      <c r="AC231" s="403"/>
      <c r="AD231" s="403"/>
      <c r="AE231" s="403"/>
      <c r="AF231" s="403"/>
      <c r="AG231" s="403"/>
      <c r="AH231" s="403"/>
      <c r="AI231" s="403"/>
      <c r="AJ231" s="403"/>
      <c r="AK231" s="403"/>
      <c r="AL231" s="403"/>
      <c r="AM231" s="403"/>
    </row>
    <row r="232" spans="1:39" hidden="1" x14ac:dyDescent="0.2">
      <c r="A232" s="403"/>
      <c r="B232" s="403"/>
      <c r="C232" s="403"/>
      <c r="D232" s="403"/>
      <c r="E232" s="403"/>
      <c r="F232" s="403"/>
      <c r="G232" s="403"/>
      <c r="H232" s="403"/>
      <c r="I232" s="403"/>
      <c r="J232" s="403"/>
      <c r="K232" s="403"/>
      <c r="L232" s="407"/>
      <c r="M232" s="407"/>
      <c r="N232" s="407"/>
      <c r="O232" s="403"/>
      <c r="P232" s="403"/>
      <c r="Q232" s="403"/>
      <c r="R232" s="403"/>
      <c r="S232" s="403"/>
      <c r="T232" s="407"/>
      <c r="U232" s="407"/>
      <c r="V232" s="407"/>
      <c r="W232" s="403"/>
      <c r="X232" s="403"/>
      <c r="Y232" s="403"/>
      <c r="Z232" s="403"/>
      <c r="AA232" s="403"/>
      <c r="AB232" s="403"/>
      <c r="AC232" s="403"/>
      <c r="AD232" s="403"/>
      <c r="AE232" s="403"/>
      <c r="AF232" s="403"/>
      <c r="AG232" s="403"/>
      <c r="AH232" s="403"/>
      <c r="AI232" s="403"/>
      <c r="AJ232" s="403"/>
      <c r="AK232" s="403"/>
      <c r="AL232" s="403"/>
      <c r="AM232" s="403"/>
    </row>
    <row r="233" spans="1:39" hidden="1" x14ac:dyDescent="0.2">
      <c r="A233" s="403"/>
      <c r="B233" s="403"/>
      <c r="C233" s="403"/>
      <c r="D233" s="403"/>
      <c r="E233" s="403"/>
      <c r="F233" s="403"/>
      <c r="G233" s="403"/>
      <c r="H233" s="403"/>
      <c r="I233" s="403"/>
      <c r="J233" s="403"/>
      <c r="K233" s="403"/>
      <c r="L233" s="407"/>
      <c r="M233" s="407"/>
      <c r="N233" s="407"/>
      <c r="O233" s="403"/>
      <c r="P233" s="403"/>
      <c r="Q233" s="403"/>
      <c r="R233" s="403"/>
      <c r="S233" s="403"/>
      <c r="T233" s="407"/>
      <c r="U233" s="407"/>
      <c r="V233" s="407"/>
      <c r="W233" s="403"/>
      <c r="X233" s="403"/>
      <c r="Y233" s="403"/>
      <c r="Z233" s="403"/>
      <c r="AA233" s="403"/>
      <c r="AB233" s="403"/>
      <c r="AC233" s="403"/>
      <c r="AD233" s="403"/>
      <c r="AE233" s="403"/>
      <c r="AF233" s="403"/>
      <c r="AG233" s="403"/>
      <c r="AH233" s="403"/>
      <c r="AI233" s="403"/>
      <c r="AJ233" s="403"/>
      <c r="AK233" s="403"/>
      <c r="AL233" s="403"/>
      <c r="AM233" s="403"/>
    </row>
    <row r="234" spans="1:39" hidden="1" x14ac:dyDescent="0.2">
      <c r="A234" s="403"/>
      <c r="B234" s="403"/>
      <c r="C234" s="403"/>
      <c r="D234" s="403"/>
      <c r="E234" s="403"/>
      <c r="F234" s="403"/>
      <c r="G234" s="403"/>
      <c r="H234" s="403"/>
      <c r="I234" s="403"/>
      <c r="J234" s="403"/>
      <c r="K234" s="403"/>
      <c r="L234" s="407"/>
      <c r="M234" s="407"/>
      <c r="N234" s="407"/>
      <c r="O234" s="403"/>
      <c r="P234" s="403"/>
      <c r="Q234" s="403"/>
      <c r="R234" s="403"/>
      <c r="S234" s="403"/>
      <c r="T234" s="407"/>
      <c r="U234" s="407"/>
      <c r="V234" s="407"/>
      <c r="W234" s="403"/>
      <c r="X234" s="403"/>
      <c r="Y234" s="403"/>
      <c r="Z234" s="403"/>
      <c r="AA234" s="403"/>
      <c r="AB234" s="403"/>
      <c r="AC234" s="403"/>
      <c r="AD234" s="403"/>
      <c r="AE234" s="403"/>
      <c r="AF234" s="403"/>
      <c r="AG234" s="403"/>
      <c r="AH234" s="403"/>
      <c r="AI234" s="403"/>
      <c r="AJ234" s="403"/>
      <c r="AK234" s="403"/>
      <c r="AL234" s="403"/>
      <c r="AM234" s="403"/>
    </row>
    <row r="235" spans="1:39" hidden="1" x14ac:dyDescent="0.2">
      <c r="A235" s="403"/>
      <c r="B235" s="403"/>
      <c r="C235" s="403"/>
      <c r="D235" s="403"/>
      <c r="E235" s="403"/>
      <c r="F235" s="403"/>
      <c r="G235" s="403"/>
      <c r="H235" s="403"/>
      <c r="I235" s="403"/>
      <c r="J235" s="403"/>
      <c r="K235" s="403"/>
      <c r="L235" s="407"/>
      <c r="M235" s="407"/>
      <c r="N235" s="407"/>
      <c r="O235" s="403"/>
      <c r="P235" s="403"/>
      <c r="Q235" s="403"/>
      <c r="R235" s="403"/>
      <c r="S235" s="403"/>
      <c r="T235" s="407"/>
      <c r="U235" s="407"/>
      <c r="V235" s="407"/>
      <c r="W235" s="403"/>
      <c r="X235" s="403"/>
      <c r="Y235" s="403"/>
      <c r="Z235" s="403"/>
      <c r="AA235" s="403"/>
      <c r="AB235" s="403"/>
      <c r="AC235" s="403"/>
      <c r="AD235" s="403"/>
      <c r="AE235" s="403"/>
      <c r="AF235" s="403"/>
      <c r="AG235" s="403"/>
      <c r="AH235" s="403"/>
      <c r="AI235" s="403"/>
      <c r="AJ235" s="403"/>
      <c r="AK235" s="403"/>
      <c r="AL235" s="403"/>
      <c r="AM235" s="403"/>
    </row>
    <row r="236" spans="1:39" hidden="1" x14ac:dyDescent="0.2">
      <c r="A236" s="403"/>
      <c r="B236" s="403"/>
      <c r="C236" s="403"/>
      <c r="D236" s="403"/>
      <c r="E236" s="403"/>
      <c r="F236" s="403"/>
      <c r="G236" s="403"/>
      <c r="H236" s="403"/>
      <c r="I236" s="403"/>
      <c r="J236" s="403"/>
      <c r="K236" s="403"/>
      <c r="L236" s="407"/>
      <c r="M236" s="407"/>
      <c r="N236" s="407"/>
      <c r="O236" s="403"/>
      <c r="P236" s="403"/>
      <c r="Q236" s="403"/>
      <c r="R236" s="403"/>
      <c r="S236" s="403"/>
      <c r="T236" s="407"/>
      <c r="U236" s="407"/>
      <c r="V236" s="407"/>
      <c r="W236" s="403"/>
      <c r="X236" s="403"/>
      <c r="Y236" s="403"/>
      <c r="Z236" s="403"/>
      <c r="AA236" s="403"/>
      <c r="AB236" s="403"/>
      <c r="AC236" s="403"/>
      <c r="AD236" s="403"/>
      <c r="AE236" s="403"/>
      <c r="AF236" s="403"/>
      <c r="AG236" s="403"/>
      <c r="AH236" s="403"/>
      <c r="AI236" s="403"/>
      <c r="AJ236" s="403"/>
      <c r="AK236" s="403"/>
      <c r="AL236" s="403"/>
      <c r="AM236" s="403"/>
    </row>
    <row r="237" spans="1:39" hidden="1" x14ac:dyDescent="0.2">
      <c r="A237" s="403"/>
      <c r="B237" s="403"/>
      <c r="C237" s="403"/>
      <c r="D237" s="403"/>
      <c r="E237" s="403"/>
      <c r="F237" s="403"/>
      <c r="G237" s="403"/>
      <c r="H237" s="403"/>
      <c r="I237" s="403"/>
      <c r="J237" s="403"/>
      <c r="K237" s="403"/>
      <c r="L237" s="407"/>
      <c r="M237" s="407"/>
      <c r="N237" s="407"/>
      <c r="O237" s="403"/>
      <c r="P237" s="403"/>
      <c r="Q237" s="403"/>
      <c r="R237" s="403"/>
      <c r="S237" s="403"/>
      <c r="T237" s="407"/>
      <c r="U237" s="407"/>
      <c r="V237" s="407"/>
      <c r="W237" s="403"/>
      <c r="X237" s="403"/>
      <c r="Y237" s="403"/>
      <c r="Z237" s="403"/>
      <c r="AA237" s="403"/>
      <c r="AB237" s="403"/>
      <c r="AC237" s="403"/>
      <c r="AD237" s="403"/>
      <c r="AE237" s="403"/>
      <c r="AF237" s="403"/>
      <c r="AG237" s="403"/>
      <c r="AH237" s="403"/>
      <c r="AI237" s="403"/>
      <c r="AJ237" s="403"/>
      <c r="AK237" s="403"/>
      <c r="AL237" s="403"/>
      <c r="AM237" s="403"/>
    </row>
    <row r="238" spans="1:39" hidden="1" x14ac:dyDescent="0.2">
      <c r="A238" s="403"/>
      <c r="B238" s="403"/>
      <c r="C238" s="403"/>
      <c r="D238" s="403"/>
      <c r="E238" s="403"/>
      <c r="F238" s="403"/>
      <c r="G238" s="403"/>
      <c r="H238" s="403"/>
      <c r="I238" s="403"/>
      <c r="J238" s="403"/>
      <c r="K238" s="403"/>
      <c r="L238" s="407"/>
      <c r="M238" s="407"/>
      <c r="N238" s="407"/>
      <c r="O238" s="403"/>
      <c r="P238" s="403"/>
      <c r="Q238" s="403"/>
      <c r="R238" s="403"/>
      <c r="S238" s="403"/>
      <c r="T238" s="407"/>
      <c r="U238" s="407"/>
      <c r="V238" s="407"/>
      <c r="W238" s="403"/>
      <c r="X238" s="403"/>
      <c r="Y238" s="403"/>
      <c r="Z238" s="403"/>
      <c r="AA238" s="403"/>
      <c r="AB238" s="403"/>
      <c r="AC238" s="403"/>
      <c r="AD238" s="403"/>
      <c r="AE238" s="403"/>
      <c r="AF238" s="403"/>
      <c r="AG238" s="403"/>
      <c r="AH238" s="403"/>
      <c r="AI238" s="403"/>
      <c r="AJ238" s="403"/>
      <c r="AK238" s="403"/>
      <c r="AL238" s="403"/>
      <c r="AM238" s="403"/>
    </row>
    <row r="239" spans="1:39" hidden="1" x14ac:dyDescent="0.2">
      <c r="A239" s="403"/>
      <c r="B239" s="403"/>
      <c r="C239" s="403"/>
      <c r="D239" s="403"/>
      <c r="E239" s="403"/>
      <c r="F239" s="403"/>
      <c r="G239" s="403"/>
      <c r="H239" s="403"/>
      <c r="I239" s="403"/>
      <c r="J239" s="403"/>
      <c r="K239" s="403"/>
      <c r="L239" s="407"/>
      <c r="M239" s="407"/>
      <c r="N239" s="407"/>
      <c r="O239" s="403"/>
      <c r="P239" s="403"/>
      <c r="Q239" s="403"/>
      <c r="R239" s="403"/>
      <c r="S239" s="403"/>
      <c r="T239" s="407"/>
      <c r="U239" s="407"/>
      <c r="V239" s="407"/>
      <c r="W239" s="403"/>
      <c r="X239" s="403"/>
      <c r="Y239" s="403"/>
      <c r="Z239" s="403"/>
      <c r="AA239" s="403"/>
      <c r="AB239" s="403"/>
      <c r="AC239" s="403"/>
      <c r="AD239" s="403"/>
      <c r="AE239" s="403"/>
      <c r="AF239" s="403"/>
      <c r="AG239" s="403"/>
      <c r="AH239" s="403"/>
      <c r="AI239" s="403"/>
      <c r="AJ239" s="403"/>
      <c r="AK239" s="403"/>
      <c r="AL239" s="403"/>
      <c r="AM239" s="403"/>
    </row>
    <row r="240" spans="1:39" hidden="1" x14ac:dyDescent="0.2">
      <c r="A240" s="403"/>
      <c r="B240" s="403"/>
      <c r="C240" s="403"/>
      <c r="D240" s="403"/>
      <c r="E240" s="403"/>
      <c r="F240" s="403"/>
      <c r="G240" s="403"/>
      <c r="H240" s="403"/>
      <c r="I240" s="403"/>
      <c r="J240" s="403"/>
      <c r="K240" s="403"/>
      <c r="L240" s="407"/>
      <c r="M240" s="407"/>
      <c r="N240" s="407"/>
      <c r="O240" s="403"/>
      <c r="P240" s="403"/>
      <c r="Q240" s="403"/>
      <c r="R240" s="403"/>
      <c r="S240" s="403"/>
      <c r="T240" s="407"/>
      <c r="U240" s="407"/>
      <c r="V240" s="407"/>
      <c r="W240" s="403"/>
      <c r="X240" s="403"/>
      <c r="Y240" s="403"/>
      <c r="Z240" s="403"/>
      <c r="AA240" s="403"/>
      <c r="AB240" s="403"/>
      <c r="AC240" s="403"/>
      <c r="AD240" s="403"/>
      <c r="AE240" s="403"/>
      <c r="AF240" s="403"/>
      <c r="AG240" s="403"/>
      <c r="AH240" s="403"/>
      <c r="AI240" s="403"/>
      <c r="AJ240" s="403"/>
      <c r="AK240" s="403"/>
      <c r="AL240" s="403"/>
      <c r="AM240" s="403"/>
    </row>
    <row r="241" spans="1:39" hidden="1" x14ac:dyDescent="0.2">
      <c r="A241" s="403"/>
      <c r="B241" s="403"/>
      <c r="C241" s="403"/>
      <c r="D241" s="403"/>
      <c r="E241" s="403"/>
      <c r="F241" s="403"/>
      <c r="G241" s="403"/>
      <c r="H241" s="403"/>
      <c r="I241" s="403"/>
      <c r="J241" s="403"/>
      <c r="K241" s="403"/>
      <c r="L241" s="407"/>
      <c r="M241" s="407"/>
      <c r="N241" s="407"/>
      <c r="O241" s="403"/>
      <c r="P241" s="403"/>
      <c r="Q241" s="403"/>
      <c r="R241" s="403"/>
      <c r="S241" s="403"/>
      <c r="T241" s="407"/>
      <c r="U241" s="407"/>
      <c r="V241" s="407"/>
      <c r="W241" s="403"/>
      <c r="X241" s="403"/>
      <c r="Y241" s="403"/>
      <c r="Z241" s="403"/>
      <c r="AA241" s="403"/>
      <c r="AB241" s="403"/>
      <c r="AC241" s="403"/>
      <c r="AD241" s="403"/>
      <c r="AE241" s="403"/>
      <c r="AF241" s="403"/>
      <c r="AG241" s="403"/>
      <c r="AH241" s="403"/>
      <c r="AI241" s="403"/>
      <c r="AJ241" s="403"/>
      <c r="AK241" s="403"/>
      <c r="AL241" s="403"/>
      <c r="AM241" s="403"/>
    </row>
    <row r="242" spans="1:39" hidden="1" x14ac:dyDescent="0.2">
      <c r="A242" s="403"/>
      <c r="B242" s="403"/>
      <c r="C242" s="403"/>
      <c r="D242" s="403"/>
      <c r="E242" s="403"/>
      <c r="F242" s="403"/>
      <c r="G242" s="403"/>
      <c r="H242" s="403"/>
      <c r="I242" s="403"/>
      <c r="J242" s="403"/>
      <c r="K242" s="403"/>
      <c r="L242" s="407"/>
      <c r="M242" s="407"/>
      <c r="N242" s="407"/>
      <c r="O242" s="403"/>
      <c r="P242" s="403"/>
      <c r="Q242" s="403"/>
      <c r="R242" s="403"/>
      <c r="S242" s="403"/>
      <c r="T242" s="407"/>
      <c r="U242" s="407"/>
      <c r="V242" s="407"/>
      <c r="W242" s="403"/>
      <c r="X242" s="403"/>
      <c r="Y242" s="403"/>
      <c r="Z242" s="403"/>
      <c r="AA242" s="403"/>
      <c r="AB242" s="403"/>
      <c r="AC242" s="403"/>
      <c r="AD242" s="403"/>
      <c r="AE242" s="403"/>
      <c r="AF242" s="403"/>
      <c r="AG242" s="403"/>
      <c r="AH242" s="403"/>
      <c r="AI242" s="403"/>
      <c r="AJ242" s="403"/>
      <c r="AK242" s="403"/>
      <c r="AL242" s="403"/>
      <c r="AM242" s="403"/>
    </row>
    <row r="243" spans="1:39" hidden="1" x14ac:dyDescent="0.2">
      <c r="A243" s="403"/>
      <c r="B243" s="403"/>
      <c r="C243" s="403"/>
      <c r="D243" s="403"/>
      <c r="E243" s="403"/>
      <c r="F243" s="403"/>
      <c r="G243" s="403"/>
      <c r="H243" s="403"/>
      <c r="I243" s="403"/>
      <c r="J243" s="403"/>
      <c r="K243" s="403"/>
      <c r="L243" s="407"/>
      <c r="M243" s="407"/>
      <c r="N243" s="407"/>
      <c r="O243" s="403"/>
      <c r="P243" s="403"/>
      <c r="Q243" s="403"/>
      <c r="R243" s="403"/>
      <c r="S243" s="403"/>
      <c r="T243" s="407"/>
      <c r="U243" s="407"/>
      <c r="V243" s="407"/>
      <c r="W243" s="403"/>
      <c r="X243" s="403"/>
      <c r="Y243" s="403"/>
      <c r="Z243" s="403"/>
      <c r="AA243" s="403"/>
      <c r="AB243" s="403"/>
      <c r="AC243" s="403"/>
      <c r="AD243" s="403"/>
      <c r="AE243" s="403"/>
      <c r="AF243" s="403"/>
      <c r="AG243" s="403"/>
      <c r="AH243" s="403"/>
      <c r="AI243" s="403"/>
      <c r="AJ243" s="403"/>
      <c r="AK243" s="403"/>
      <c r="AL243" s="403"/>
      <c r="AM243" s="403"/>
    </row>
    <row r="244" spans="1:39" hidden="1" x14ac:dyDescent="0.2">
      <c r="A244" s="403"/>
      <c r="B244" s="403"/>
      <c r="C244" s="403"/>
      <c r="D244" s="403"/>
      <c r="E244" s="403"/>
      <c r="F244" s="403"/>
      <c r="G244" s="403"/>
      <c r="H244" s="403"/>
      <c r="I244" s="403"/>
      <c r="J244" s="403"/>
      <c r="K244" s="403"/>
      <c r="L244" s="407"/>
      <c r="M244" s="407"/>
      <c r="N244" s="407"/>
      <c r="O244" s="403"/>
      <c r="P244" s="403"/>
      <c r="Q244" s="403"/>
      <c r="R244" s="403"/>
      <c r="S244" s="403"/>
      <c r="T244" s="407"/>
      <c r="U244" s="407"/>
      <c r="V244" s="407"/>
      <c r="W244" s="403"/>
      <c r="X244" s="403"/>
      <c r="Y244" s="403"/>
      <c r="Z244" s="403"/>
      <c r="AA244" s="403"/>
      <c r="AB244" s="403"/>
      <c r="AC244" s="403"/>
      <c r="AD244" s="403"/>
      <c r="AE244" s="403"/>
      <c r="AF244" s="403"/>
      <c r="AG244" s="403"/>
      <c r="AH244" s="403"/>
      <c r="AI244" s="403"/>
      <c r="AJ244" s="403"/>
      <c r="AK244" s="403"/>
      <c r="AL244" s="403"/>
      <c r="AM244" s="403"/>
    </row>
    <row r="245" spans="1:39" hidden="1" x14ac:dyDescent="0.2">
      <c r="A245" s="403"/>
      <c r="B245" s="403"/>
      <c r="C245" s="403"/>
      <c r="D245" s="403"/>
      <c r="E245" s="403"/>
      <c r="F245" s="403"/>
      <c r="G245" s="403"/>
      <c r="H245" s="403"/>
      <c r="I245" s="403"/>
      <c r="J245" s="403"/>
      <c r="K245" s="403"/>
      <c r="L245" s="407"/>
      <c r="M245" s="407"/>
      <c r="N245" s="407"/>
      <c r="O245" s="403"/>
      <c r="P245" s="403"/>
      <c r="Q245" s="403"/>
      <c r="R245" s="403"/>
      <c r="S245" s="403"/>
      <c r="T245" s="407"/>
      <c r="U245" s="407"/>
      <c r="V245" s="407"/>
      <c r="W245" s="403"/>
      <c r="X245" s="403"/>
      <c r="Y245" s="403"/>
      <c r="Z245" s="403"/>
      <c r="AA245" s="403"/>
      <c r="AB245" s="403"/>
      <c r="AC245" s="403"/>
      <c r="AD245" s="403"/>
      <c r="AE245" s="403"/>
      <c r="AF245" s="403"/>
      <c r="AG245" s="403"/>
      <c r="AH245" s="403"/>
      <c r="AI245" s="403"/>
      <c r="AJ245" s="403"/>
      <c r="AK245" s="403"/>
      <c r="AL245" s="403"/>
      <c r="AM245" s="403"/>
    </row>
    <row r="246" spans="1:39" hidden="1" x14ac:dyDescent="0.2">
      <c r="A246" s="403"/>
      <c r="B246" s="403"/>
      <c r="C246" s="403"/>
      <c r="D246" s="403"/>
      <c r="E246" s="403"/>
      <c r="F246" s="403"/>
      <c r="G246" s="403"/>
      <c r="H246" s="403"/>
      <c r="I246" s="403"/>
      <c r="J246" s="403"/>
      <c r="K246" s="403"/>
      <c r="L246" s="407"/>
      <c r="M246" s="407"/>
      <c r="N246" s="407"/>
      <c r="O246" s="403"/>
      <c r="P246" s="403"/>
      <c r="Q246" s="403"/>
      <c r="R246" s="403"/>
      <c r="S246" s="403"/>
      <c r="T246" s="407"/>
      <c r="U246" s="407"/>
      <c r="V246" s="407"/>
      <c r="W246" s="403"/>
      <c r="X246" s="403"/>
      <c r="Y246" s="403"/>
      <c r="Z246" s="403"/>
      <c r="AA246" s="403"/>
      <c r="AB246" s="403"/>
      <c r="AC246" s="403"/>
      <c r="AD246" s="403"/>
      <c r="AE246" s="403"/>
      <c r="AF246" s="403"/>
      <c r="AG246" s="403"/>
      <c r="AH246" s="403"/>
      <c r="AI246" s="403"/>
      <c r="AJ246" s="403"/>
      <c r="AK246" s="403"/>
      <c r="AL246" s="403"/>
      <c r="AM246" s="403"/>
    </row>
    <row r="247" spans="1:39" hidden="1" x14ac:dyDescent="0.2">
      <c r="A247" s="403"/>
      <c r="B247" s="403"/>
      <c r="C247" s="403"/>
      <c r="D247" s="403"/>
      <c r="E247" s="403"/>
      <c r="F247" s="403"/>
      <c r="G247" s="403"/>
      <c r="H247" s="403"/>
      <c r="I247" s="403"/>
      <c r="J247" s="403"/>
      <c r="K247" s="403"/>
      <c r="L247" s="407"/>
      <c r="M247" s="407"/>
      <c r="N247" s="407"/>
      <c r="O247" s="403"/>
      <c r="P247" s="403"/>
      <c r="Q247" s="403"/>
      <c r="R247" s="403"/>
      <c r="S247" s="403"/>
      <c r="T247" s="407"/>
      <c r="U247" s="407"/>
      <c r="V247" s="407"/>
      <c r="W247" s="403"/>
      <c r="X247" s="403"/>
      <c r="Y247" s="403"/>
      <c r="Z247" s="403"/>
      <c r="AA247" s="403"/>
      <c r="AB247" s="403"/>
      <c r="AC247" s="403"/>
      <c r="AD247" s="403"/>
      <c r="AE247" s="403"/>
      <c r="AF247" s="403"/>
      <c r="AG247" s="403"/>
      <c r="AH247" s="403"/>
      <c r="AI247" s="403"/>
      <c r="AJ247" s="403"/>
      <c r="AK247" s="403"/>
      <c r="AL247" s="403"/>
      <c r="AM247" s="403"/>
    </row>
    <row r="248" spans="1:39" hidden="1" x14ac:dyDescent="0.2">
      <c r="A248" s="403"/>
      <c r="B248" s="403"/>
      <c r="C248" s="403"/>
      <c r="D248" s="403"/>
      <c r="E248" s="403"/>
      <c r="F248" s="403"/>
      <c r="G248" s="403"/>
      <c r="H248" s="403"/>
      <c r="I248" s="403"/>
      <c r="J248" s="403"/>
      <c r="K248" s="403"/>
      <c r="L248" s="407"/>
      <c r="M248" s="407"/>
      <c r="N248" s="407"/>
      <c r="O248" s="403"/>
      <c r="P248" s="403"/>
      <c r="Q248" s="403"/>
      <c r="R248" s="403"/>
      <c r="S248" s="403"/>
      <c r="T248" s="407"/>
      <c r="U248" s="407"/>
      <c r="V248" s="407"/>
      <c r="W248" s="403"/>
      <c r="X248" s="403"/>
      <c r="Y248" s="403"/>
      <c r="Z248" s="403"/>
      <c r="AA248" s="403"/>
      <c r="AB248" s="403"/>
      <c r="AC248" s="403"/>
      <c r="AD248" s="403"/>
      <c r="AE248" s="403"/>
      <c r="AF248" s="403"/>
      <c r="AG248" s="403"/>
      <c r="AH248" s="403"/>
      <c r="AI248" s="403"/>
      <c r="AJ248" s="403"/>
      <c r="AK248" s="403"/>
      <c r="AL248" s="403"/>
      <c r="AM248" s="403"/>
    </row>
    <row r="249" spans="1:39" hidden="1" x14ac:dyDescent="0.2">
      <c r="A249" s="403"/>
      <c r="B249" s="403"/>
      <c r="C249" s="403"/>
      <c r="D249" s="403"/>
      <c r="E249" s="403"/>
      <c r="F249" s="403"/>
      <c r="G249" s="403"/>
      <c r="H249" s="403"/>
      <c r="I249" s="403"/>
      <c r="J249" s="403"/>
      <c r="K249" s="403"/>
      <c r="L249" s="407"/>
      <c r="M249" s="407"/>
      <c r="N249" s="407"/>
      <c r="O249" s="403"/>
      <c r="P249" s="403"/>
      <c r="Q249" s="403"/>
      <c r="R249" s="403"/>
      <c r="S249" s="403"/>
      <c r="T249" s="407"/>
      <c r="U249" s="407"/>
      <c r="V249" s="407"/>
      <c r="W249" s="403"/>
      <c r="X249" s="403"/>
      <c r="Y249" s="403"/>
      <c r="Z249" s="403"/>
      <c r="AA249" s="403"/>
      <c r="AB249" s="403"/>
      <c r="AC249" s="403"/>
      <c r="AD249" s="403"/>
      <c r="AE249" s="403"/>
      <c r="AF249" s="403"/>
      <c r="AG249" s="403"/>
      <c r="AH249" s="403"/>
      <c r="AI249" s="403"/>
      <c r="AJ249" s="403"/>
      <c r="AK249" s="403"/>
      <c r="AL249" s="403"/>
      <c r="AM249" s="403"/>
    </row>
    <row r="250" spans="1:39" hidden="1" x14ac:dyDescent="0.2">
      <c r="A250" s="403"/>
      <c r="B250" s="403"/>
      <c r="C250" s="403"/>
      <c r="D250" s="403"/>
      <c r="E250" s="403"/>
      <c r="F250" s="403"/>
      <c r="G250" s="403"/>
      <c r="H250" s="403"/>
      <c r="I250" s="403"/>
      <c r="J250" s="403"/>
      <c r="K250" s="403"/>
      <c r="L250" s="407"/>
      <c r="M250" s="407"/>
      <c r="N250" s="407"/>
      <c r="O250" s="403"/>
      <c r="P250" s="403"/>
      <c r="Q250" s="403"/>
      <c r="R250" s="403"/>
      <c r="S250" s="403"/>
      <c r="T250" s="407"/>
      <c r="U250" s="407"/>
      <c r="V250" s="407"/>
      <c r="W250" s="403"/>
      <c r="X250" s="403"/>
      <c r="Y250" s="403"/>
      <c r="Z250" s="403"/>
      <c r="AA250" s="403"/>
      <c r="AB250" s="403"/>
      <c r="AC250" s="403"/>
      <c r="AD250" s="403"/>
      <c r="AE250" s="403"/>
      <c r="AF250" s="403"/>
      <c r="AG250" s="403"/>
      <c r="AH250" s="403"/>
      <c r="AI250" s="403"/>
      <c r="AJ250" s="403"/>
      <c r="AK250" s="403"/>
      <c r="AL250" s="403"/>
      <c r="AM250" s="403"/>
    </row>
    <row r="251" spans="1:39" hidden="1" x14ac:dyDescent="0.2">
      <c r="A251" s="403"/>
      <c r="B251" s="403"/>
      <c r="C251" s="403"/>
      <c r="D251" s="403"/>
      <c r="E251" s="403"/>
      <c r="F251" s="403"/>
      <c r="G251" s="403"/>
      <c r="H251" s="403"/>
      <c r="I251" s="403"/>
      <c r="J251" s="403"/>
      <c r="K251" s="403"/>
      <c r="L251" s="407"/>
      <c r="M251" s="407"/>
      <c r="N251" s="407"/>
      <c r="O251" s="403"/>
      <c r="P251" s="403"/>
      <c r="Q251" s="403"/>
      <c r="R251" s="403"/>
      <c r="S251" s="403"/>
      <c r="T251" s="407"/>
      <c r="U251" s="407"/>
      <c r="V251" s="407"/>
      <c r="W251" s="403"/>
      <c r="X251" s="403"/>
      <c r="Y251" s="403"/>
      <c r="Z251" s="403"/>
      <c r="AA251" s="403"/>
      <c r="AB251" s="403"/>
      <c r="AC251" s="403"/>
      <c r="AD251" s="403"/>
      <c r="AE251" s="403"/>
      <c r="AF251" s="403"/>
      <c r="AG251" s="403"/>
      <c r="AH251" s="403"/>
      <c r="AI251" s="403"/>
      <c r="AJ251" s="403"/>
      <c r="AK251" s="403"/>
      <c r="AL251" s="403"/>
      <c r="AM251" s="403"/>
    </row>
    <row r="252" spans="1:39" hidden="1" x14ac:dyDescent="0.2">
      <c r="A252" s="403"/>
      <c r="B252" s="403"/>
      <c r="C252" s="403"/>
      <c r="D252" s="403"/>
      <c r="E252" s="403"/>
      <c r="F252" s="403"/>
      <c r="G252" s="403"/>
      <c r="H252" s="403"/>
      <c r="I252" s="403"/>
      <c r="J252" s="403"/>
      <c r="K252" s="403"/>
      <c r="L252" s="407"/>
      <c r="M252" s="407"/>
      <c r="N252" s="407"/>
      <c r="O252" s="403"/>
      <c r="P252" s="403"/>
      <c r="Q252" s="403"/>
      <c r="R252" s="403"/>
      <c r="S252" s="403"/>
      <c r="T252" s="407"/>
      <c r="U252" s="407"/>
      <c r="V252" s="407"/>
      <c r="W252" s="403"/>
      <c r="X252" s="403"/>
      <c r="Y252" s="403"/>
      <c r="Z252" s="403"/>
      <c r="AA252" s="403"/>
      <c r="AB252" s="403"/>
      <c r="AC252" s="403"/>
      <c r="AD252" s="403"/>
      <c r="AE252" s="403"/>
      <c r="AF252" s="403"/>
      <c r="AG252" s="403"/>
      <c r="AH252" s="403"/>
      <c r="AI252" s="403"/>
      <c r="AJ252" s="403"/>
      <c r="AK252" s="403"/>
      <c r="AL252" s="403"/>
      <c r="AM252" s="403"/>
    </row>
    <row r="253" spans="1:39" hidden="1" x14ac:dyDescent="0.2">
      <c r="A253" s="403"/>
      <c r="B253" s="403"/>
      <c r="C253" s="403"/>
      <c r="D253" s="403"/>
      <c r="E253" s="403"/>
      <c r="F253" s="403"/>
      <c r="G253" s="403"/>
      <c r="H253" s="403"/>
      <c r="I253" s="403"/>
      <c r="J253" s="403"/>
      <c r="K253" s="403"/>
      <c r="L253" s="407"/>
      <c r="M253" s="407"/>
      <c r="N253" s="407"/>
      <c r="O253" s="403"/>
      <c r="P253" s="403"/>
      <c r="Q253" s="403"/>
      <c r="R253" s="403"/>
      <c r="S253" s="403"/>
      <c r="T253" s="407"/>
      <c r="U253" s="407"/>
      <c r="V253" s="407"/>
      <c r="W253" s="403"/>
      <c r="X253" s="403"/>
      <c r="Y253" s="403"/>
      <c r="Z253" s="403"/>
      <c r="AA253" s="403"/>
      <c r="AB253" s="403"/>
      <c r="AC253" s="403"/>
      <c r="AD253" s="403"/>
      <c r="AE253" s="403"/>
      <c r="AF253" s="403"/>
      <c r="AG253" s="403"/>
      <c r="AH253" s="403"/>
      <c r="AI253" s="403"/>
      <c r="AJ253" s="403"/>
      <c r="AK253" s="403"/>
      <c r="AL253" s="403"/>
      <c r="AM253" s="403"/>
    </row>
    <row r="254" spans="1:39" hidden="1" x14ac:dyDescent="0.2">
      <c r="A254" s="403"/>
      <c r="B254" s="403"/>
      <c r="C254" s="403"/>
      <c r="D254" s="403"/>
      <c r="E254" s="403"/>
      <c r="F254" s="403"/>
      <c r="G254" s="403"/>
      <c r="H254" s="403"/>
      <c r="I254" s="403"/>
      <c r="J254" s="403"/>
      <c r="K254" s="403"/>
      <c r="L254" s="407"/>
      <c r="M254" s="407"/>
      <c r="N254" s="407"/>
      <c r="O254" s="403"/>
      <c r="P254" s="403"/>
      <c r="Q254" s="403"/>
      <c r="R254" s="403"/>
      <c r="S254" s="403"/>
      <c r="T254" s="407"/>
      <c r="U254" s="407"/>
      <c r="V254" s="407"/>
      <c r="W254" s="403"/>
      <c r="X254" s="403"/>
      <c r="Y254" s="403"/>
      <c r="Z254" s="403"/>
      <c r="AA254" s="403"/>
      <c r="AB254" s="403"/>
      <c r="AC254" s="403"/>
      <c r="AD254" s="403"/>
      <c r="AE254" s="403"/>
      <c r="AF254" s="403"/>
      <c r="AG254" s="403"/>
      <c r="AH254" s="403"/>
      <c r="AI254" s="403"/>
      <c r="AJ254" s="403"/>
      <c r="AK254" s="403"/>
      <c r="AL254" s="403"/>
      <c r="AM254" s="403"/>
    </row>
    <row r="255" spans="1:39" hidden="1" x14ac:dyDescent="0.2">
      <c r="A255" s="403"/>
      <c r="B255" s="403"/>
      <c r="C255" s="403"/>
      <c r="D255" s="403"/>
      <c r="E255" s="403"/>
      <c r="F255" s="403"/>
      <c r="G255" s="403"/>
      <c r="H255" s="403"/>
      <c r="I255" s="403"/>
      <c r="J255" s="403"/>
      <c r="K255" s="403"/>
      <c r="L255" s="407"/>
      <c r="M255" s="407"/>
      <c r="N255" s="407"/>
      <c r="O255" s="403"/>
      <c r="P255" s="403"/>
      <c r="Q255" s="403"/>
      <c r="R255" s="403"/>
      <c r="S255" s="403"/>
      <c r="T255" s="407"/>
      <c r="U255" s="407"/>
      <c r="V255" s="407"/>
      <c r="W255" s="403"/>
      <c r="X255" s="403"/>
      <c r="Y255" s="403"/>
      <c r="Z255" s="403"/>
      <c r="AA255" s="403"/>
      <c r="AB255" s="403"/>
      <c r="AC255" s="403"/>
      <c r="AD255" s="403"/>
      <c r="AE255" s="403"/>
      <c r="AF255" s="403"/>
      <c r="AG255" s="403"/>
      <c r="AH255" s="403"/>
      <c r="AI255" s="403"/>
      <c r="AJ255" s="403"/>
      <c r="AK255" s="403"/>
      <c r="AL255" s="403"/>
      <c r="AM255" s="403"/>
    </row>
    <row r="256" spans="1:39" hidden="1" x14ac:dyDescent="0.2">
      <c r="A256" s="403"/>
      <c r="B256" s="403"/>
      <c r="C256" s="403"/>
      <c r="D256" s="403"/>
      <c r="E256" s="403"/>
      <c r="F256" s="403"/>
      <c r="G256" s="403"/>
      <c r="H256" s="403"/>
      <c r="I256" s="403"/>
      <c r="J256" s="403"/>
      <c r="K256" s="403"/>
      <c r="L256" s="407"/>
      <c r="M256" s="407"/>
      <c r="N256" s="407"/>
      <c r="O256" s="403"/>
      <c r="P256" s="403"/>
      <c r="Q256" s="403"/>
      <c r="R256" s="403"/>
      <c r="S256" s="403"/>
      <c r="T256" s="407"/>
      <c r="U256" s="407"/>
      <c r="V256" s="407"/>
      <c r="W256" s="403"/>
      <c r="X256" s="403"/>
      <c r="Y256" s="403"/>
      <c r="Z256" s="403"/>
      <c r="AA256" s="403"/>
      <c r="AB256" s="403"/>
      <c r="AC256" s="403"/>
      <c r="AD256" s="403"/>
      <c r="AE256" s="403"/>
      <c r="AF256" s="403"/>
      <c r="AG256" s="403"/>
      <c r="AH256" s="403"/>
      <c r="AI256" s="403"/>
      <c r="AJ256" s="403"/>
      <c r="AK256" s="403"/>
      <c r="AL256" s="403"/>
      <c r="AM256" s="403"/>
    </row>
    <row r="257" spans="1:39" hidden="1" x14ac:dyDescent="0.2">
      <c r="A257" s="403"/>
      <c r="B257" s="403"/>
      <c r="C257" s="403"/>
      <c r="D257" s="403"/>
      <c r="E257" s="403"/>
      <c r="F257" s="403"/>
      <c r="G257" s="403"/>
      <c r="H257" s="403"/>
      <c r="I257" s="403"/>
      <c r="J257" s="403"/>
      <c r="K257" s="403"/>
      <c r="L257" s="407"/>
      <c r="M257" s="407"/>
      <c r="N257" s="407"/>
      <c r="O257" s="403"/>
      <c r="P257" s="403"/>
      <c r="Q257" s="403"/>
      <c r="R257" s="403"/>
      <c r="S257" s="403"/>
      <c r="T257" s="407"/>
      <c r="U257" s="407"/>
      <c r="V257" s="407"/>
      <c r="W257" s="403"/>
      <c r="X257" s="403"/>
      <c r="Y257" s="403"/>
      <c r="Z257" s="403"/>
      <c r="AA257" s="403"/>
      <c r="AB257" s="403"/>
      <c r="AC257" s="403"/>
      <c r="AD257" s="403"/>
      <c r="AE257" s="403"/>
      <c r="AF257" s="403"/>
      <c r="AG257" s="403"/>
      <c r="AH257" s="403"/>
      <c r="AI257" s="403"/>
      <c r="AJ257" s="403"/>
      <c r="AK257" s="403"/>
      <c r="AL257" s="403"/>
      <c r="AM257" s="403"/>
    </row>
    <row r="258" spans="1:39" hidden="1" x14ac:dyDescent="0.2">
      <c r="A258" s="403"/>
      <c r="B258" s="403"/>
      <c r="C258" s="403"/>
      <c r="D258" s="403"/>
      <c r="E258" s="403"/>
      <c r="F258" s="403"/>
      <c r="G258" s="403"/>
      <c r="H258" s="403"/>
      <c r="I258" s="403"/>
      <c r="J258" s="403"/>
      <c r="K258" s="403"/>
      <c r="L258" s="407"/>
      <c r="M258" s="407"/>
      <c r="N258" s="407"/>
      <c r="O258" s="403"/>
      <c r="P258" s="403"/>
      <c r="Q258" s="403"/>
      <c r="R258" s="403"/>
      <c r="S258" s="403"/>
      <c r="T258" s="407"/>
      <c r="U258" s="407"/>
      <c r="V258" s="407"/>
      <c r="W258" s="403"/>
      <c r="X258" s="403"/>
      <c r="Y258" s="403"/>
      <c r="Z258" s="403"/>
      <c r="AA258" s="403"/>
      <c r="AB258" s="403"/>
      <c r="AC258" s="403"/>
      <c r="AD258" s="403"/>
      <c r="AE258" s="403"/>
      <c r="AF258" s="403"/>
      <c r="AG258" s="403"/>
      <c r="AH258" s="403"/>
      <c r="AI258" s="403"/>
      <c r="AJ258" s="403"/>
      <c r="AK258" s="403"/>
      <c r="AL258" s="403"/>
      <c r="AM258" s="403"/>
    </row>
    <row r="259" spans="1:39" hidden="1" x14ac:dyDescent="0.2">
      <c r="A259" s="403"/>
      <c r="B259" s="403"/>
      <c r="C259" s="403"/>
      <c r="D259" s="403"/>
      <c r="E259" s="403"/>
      <c r="F259" s="403"/>
      <c r="G259" s="403"/>
      <c r="H259" s="403"/>
      <c r="I259" s="403"/>
      <c r="J259" s="403"/>
      <c r="K259" s="403"/>
      <c r="L259" s="407"/>
      <c r="M259" s="407"/>
      <c r="N259" s="407"/>
      <c r="O259" s="403"/>
      <c r="P259" s="403"/>
      <c r="Q259" s="403"/>
      <c r="R259" s="403"/>
      <c r="S259" s="403"/>
      <c r="T259" s="407"/>
      <c r="U259" s="407"/>
      <c r="V259" s="407"/>
      <c r="W259" s="403"/>
      <c r="X259" s="403"/>
      <c r="Y259" s="403"/>
      <c r="Z259" s="403"/>
      <c r="AA259" s="403"/>
      <c r="AB259" s="403"/>
      <c r="AC259" s="403"/>
      <c r="AD259" s="403"/>
      <c r="AE259" s="403"/>
      <c r="AF259" s="403"/>
      <c r="AG259" s="403"/>
      <c r="AH259" s="403"/>
      <c r="AI259" s="403"/>
      <c r="AJ259" s="403"/>
      <c r="AK259" s="403"/>
      <c r="AL259" s="403"/>
      <c r="AM259" s="403"/>
    </row>
    <row r="260" spans="1:39" hidden="1" x14ac:dyDescent="0.2">
      <c r="A260" s="403"/>
      <c r="B260" s="403"/>
      <c r="C260" s="403"/>
      <c r="D260" s="403"/>
      <c r="E260" s="403"/>
      <c r="F260" s="403"/>
      <c r="G260" s="403"/>
      <c r="H260" s="403"/>
      <c r="I260" s="403"/>
      <c r="J260" s="403"/>
      <c r="K260" s="403"/>
      <c r="L260" s="407"/>
      <c r="M260" s="407"/>
      <c r="N260" s="407"/>
      <c r="O260" s="403"/>
      <c r="P260" s="403"/>
      <c r="Q260" s="403"/>
      <c r="R260" s="403"/>
      <c r="S260" s="403"/>
      <c r="T260" s="407"/>
      <c r="U260" s="407"/>
      <c r="V260" s="407"/>
      <c r="W260" s="403"/>
      <c r="X260" s="403"/>
      <c r="Y260" s="403"/>
      <c r="Z260" s="403"/>
      <c r="AA260" s="403"/>
      <c r="AB260" s="403"/>
      <c r="AC260" s="403"/>
      <c r="AD260" s="403"/>
      <c r="AE260" s="403"/>
      <c r="AF260" s="403"/>
      <c r="AG260" s="403"/>
      <c r="AH260" s="403"/>
      <c r="AI260" s="403"/>
      <c r="AJ260" s="403"/>
      <c r="AK260" s="403"/>
      <c r="AL260" s="403"/>
      <c r="AM260" s="403"/>
    </row>
    <row r="261" spans="1:39" hidden="1" x14ac:dyDescent="0.2">
      <c r="A261" s="403"/>
      <c r="B261" s="403"/>
      <c r="C261" s="403"/>
      <c r="D261" s="403"/>
      <c r="E261" s="403"/>
      <c r="F261" s="403"/>
      <c r="G261" s="403"/>
      <c r="H261" s="403"/>
      <c r="I261" s="403"/>
      <c r="J261" s="403"/>
      <c r="K261" s="403"/>
      <c r="L261" s="407"/>
      <c r="M261" s="407"/>
      <c r="N261" s="407"/>
      <c r="O261" s="403"/>
      <c r="P261" s="403"/>
      <c r="Q261" s="403"/>
      <c r="R261" s="403"/>
      <c r="S261" s="403"/>
      <c r="T261" s="407"/>
      <c r="U261" s="407"/>
      <c r="V261" s="407"/>
      <c r="W261" s="403"/>
      <c r="X261" s="403"/>
      <c r="Y261" s="403"/>
      <c r="Z261" s="403"/>
      <c r="AA261" s="403"/>
      <c r="AB261" s="403"/>
      <c r="AC261" s="403"/>
      <c r="AD261" s="403"/>
      <c r="AE261" s="403"/>
      <c r="AF261" s="403"/>
      <c r="AG261" s="403"/>
      <c r="AH261" s="403"/>
      <c r="AI261" s="403"/>
      <c r="AJ261" s="403"/>
      <c r="AK261" s="403"/>
      <c r="AL261" s="403"/>
      <c r="AM261" s="403"/>
    </row>
    <row r="262" spans="1:39" hidden="1" x14ac:dyDescent="0.2">
      <c r="A262" s="403"/>
      <c r="B262" s="403"/>
      <c r="C262" s="403"/>
      <c r="D262" s="403"/>
      <c r="E262" s="403"/>
      <c r="F262" s="403"/>
      <c r="G262" s="403"/>
      <c r="H262" s="403"/>
      <c r="I262" s="403"/>
      <c r="J262" s="403"/>
      <c r="K262" s="403"/>
      <c r="L262" s="407"/>
      <c r="M262" s="407"/>
      <c r="N262" s="407"/>
      <c r="O262" s="403"/>
      <c r="P262" s="403"/>
      <c r="Q262" s="403"/>
      <c r="R262" s="403"/>
      <c r="S262" s="403"/>
      <c r="T262" s="407"/>
      <c r="U262" s="407"/>
      <c r="V262" s="407"/>
      <c r="W262" s="403"/>
      <c r="X262" s="403"/>
      <c r="Y262" s="403"/>
      <c r="Z262" s="403"/>
      <c r="AA262" s="403"/>
      <c r="AB262" s="403"/>
      <c r="AC262" s="403"/>
      <c r="AD262" s="403"/>
      <c r="AE262" s="403"/>
      <c r="AF262" s="403"/>
      <c r="AG262" s="403"/>
      <c r="AH262" s="403"/>
      <c r="AI262" s="403"/>
      <c r="AJ262" s="403"/>
      <c r="AK262" s="403"/>
      <c r="AL262" s="403"/>
      <c r="AM262" s="403"/>
    </row>
    <row r="263" spans="1:39" hidden="1" x14ac:dyDescent="0.2">
      <c r="A263" s="403"/>
      <c r="B263" s="403"/>
      <c r="C263" s="403"/>
      <c r="D263" s="403"/>
      <c r="E263" s="403"/>
      <c r="F263" s="403"/>
      <c r="G263" s="403"/>
      <c r="H263" s="403"/>
      <c r="I263" s="403"/>
      <c r="J263" s="403"/>
      <c r="K263" s="403"/>
      <c r="L263" s="407"/>
      <c r="M263" s="407"/>
      <c r="N263" s="407"/>
      <c r="O263" s="403"/>
      <c r="P263" s="403"/>
      <c r="Q263" s="403"/>
      <c r="R263" s="403"/>
      <c r="S263" s="403"/>
      <c r="T263" s="407"/>
      <c r="U263" s="407"/>
      <c r="V263" s="407"/>
      <c r="W263" s="403"/>
      <c r="X263" s="403"/>
      <c r="Y263" s="403"/>
      <c r="Z263" s="403"/>
      <c r="AA263" s="403"/>
      <c r="AB263" s="403"/>
      <c r="AC263" s="403"/>
      <c r="AD263" s="403"/>
      <c r="AE263" s="403"/>
      <c r="AF263" s="403"/>
      <c r="AG263" s="403"/>
      <c r="AH263" s="403"/>
      <c r="AI263" s="403"/>
      <c r="AJ263" s="403"/>
      <c r="AK263" s="403"/>
      <c r="AL263" s="403"/>
      <c r="AM263" s="403"/>
    </row>
    <row r="264" spans="1:39" hidden="1" x14ac:dyDescent="0.2">
      <c r="A264" s="403"/>
      <c r="B264" s="403"/>
      <c r="C264" s="403"/>
      <c r="D264" s="403"/>
      <c r="E264" s="403"/>
      <c r="F264" s="403"/>
      <c r="G264" s="403"/>
      <c r="H264" s="403"/>
      <c r="I264" s="403"/>
      <c r="J264" s="403"/>
      <c r="K264" s="403"/>
      <c r="L264" s="407"/>
      <c r="M264" s="407"/>
      <c r="N264" s="407"/>
      <c r="O264" s="403"/>
      <c r="P264" s="403"/>
      <c r="Q264" s="403"/>
      <c r="R264" s="403"/>
      <c r="S264" s="403"/>
      <c r="T264" s="407"/>
      <c r="U264" s="407"/>
      <c r="V264" s="407"/>
      <c r="W264" s="403"/>
      <c r="X264" s="403"/>
      <c r="Y264" s="403"/>
      <c r="Z264" s="403"/>
      <c r="AA264" s="403"/>
      <c r="AB264" s="403"/>
      <c r="AC264" s="403"/>
      <c r="AD264" s="403"/>
      <c r="AE264" s="403"/>
      <c r="AF264" s="403"/>
      <c r="AG264" s="403"/>
      <c r="AH264" s="403"/>
      <c r="AI264" s="403"/>
      <c r="AJ264" s="403"/>
      <c r="AK264" s="403"/>
      <c r="AL264" s="403"/>
      <c r="AM264" s="403"/>
    </row>
    <row r="265" spans="1:39" hidden="1" x14ac:dyDescent="0.2">
      <c r="A265" s="403"/>
      <c r="B265" s="403"/>
      <c r="C265" s="403"/>
      <c r="D265" s="403"/>
      <c r="E265" s="403"/>
      <c r="F265" s="403"/>
      <c r="G265" s="403"/>
      <c r="H265" s="403"/>
      <c r="I265" s="403"/>
      <c r="J265" s="403"/>
      <c r="K265" s="403"/>
      <c r="L265" s="407"/>
      <c r="M265" s="407"/>
      <c r="N265" s="407"/>
      <c r="O265" s="403"/>
      <c r="P265" s="403"/>
      <c r="Q265" s="403"/>
      <c r="R265" s="403"/>
      <c r="S265" s="403"/>
      <c r="T265" s="407"/>
      <c r="U265" s="407"/>
      <c r="V265" s="407"/>
      <c r="W265" s="403"/>
      <c r="X265" s="403"/>
      <c r="Y265" s="403"/>
      <c r="Z265" s="403"/>
      <c r="AA265" s="403"/>
      <c r="AB265" s="403"/>
      <c r="AC265" s="403"/>
      <c r="AD265" s="403"/>
      <c r="AE265" s="403"/>
      <c r="AF265" s="403"/>
      <c r="AG265" s="403"/>
      <c r="AH265" s="403"/>
      <c r="AI265" s="403"/>
      <c r="AJ265" s="403"/>
      <c r="AK265" s="403"/>
      <c r="AL265" s="403"/>
      <c r="AM265" s="403"/>
    </row>
    <row r="266" spans="1:39" hidden="1" x14ac:dyDescent="0.2">
      <c r="A266" s="403"/>
      <c r="B266" s="403"/>
      <c r="C266" s="403"/>
      <c r="D266" s="403"/>
      <c r="E266" s="403"/>
      <c r="F266" s="403"/>
      <c r="G266" s="403"/>
      <c r="H266" s="403"/>
      <c r="I266" s="403"/>
      <c r="J266" s="403"/>
      <c r="K266" s="403"/>
      <c r="L266" s="407"/>
      <c r="M266" s="407"/>
      <c r="N266" s="407"/>
      <c r="O266" s="403"/>
      <c r="P266" s="403"/>
      <c r="Q266" s="403"/>
      <c r="R266" s="403"/>
      <c r="S266" s="403"/>
      <c r="T266" s="407"/>
      <c r="U266" s="407"/>
      <c r="V266" s="407"/>
      <c r="W266" s="403"/>
      <c r="X266" s="403"/>
      <c r="Y266" s="403"/>
      <c r="Z266" s="403"/>
      <c r="AA266" s="403"/>
      <c r="AB266" s="403"/>
      <c r="AC266" s="403"/>
      <c r="AD266" s="403"/>
      <c r="AE266" s="403"/>
      <c r="AF266" s="403"/>
      <c r="AG266" s="403"/>
      <c r="AH266" s="403"/>
      <c r="AI266" s="403"/>
      <c r="AJ266" s="403"/>
      <c r="AK266" s="403"/>
      <c r="AL266" s="403"/>
      <c r="AM266" s="403"/>
    </row>
    <row r="267" spans="1:39" hidden="1" x14ac:dyDescent="0.2">
      <c r="A267" s="403"/>
      <c r="B267" s="403"/>
      <c r="C267" s="403"/>
      <c r="D267" s="403"/>
      <c r="E267" s="403"/>
      <c r="F267" s="403"/>
      <c r="G267" s="403"/>
      <c r="H267" s="403"/>
      <c r="I267" s="403"/>
      <c r="J267" s="403"/>
      <c r="K267" s="403"/>
      <c r="L267" s="407"/>
      <c r="M267" s="407"/>
      <c r="N267" s="407"/>
      <c r="O267" s="403"/>
      <c r="P267" s="403"/>
      <c r="Q267" s="403"/>
      <c r="R267" s="403"/>
      <c r="S267" s="403"/>
      <c r="T267" s="407"/>
      <c r="U267" s="407"/>
      <c r="V267" s="407"/>
      <c r="W267" s="403"/>
      <c r="X267" s="403"/>
      <c r="Y267" s="403"/>
      <c r="Z267" s="403"/>
      <c r="AA267" s="403"/>
      <c r="AB267" s="403"/>
      <c r="AC267" s="403"/>
      <c r="AD267" s="403"/>
      <c r="AE267" s="403"/>
      <c r="AF267" s="403"/>
      <c r="AG267" s="403"/>
      <c r="AH267" s="403"/>
      <c r="AI267" s="403"/>
      <c r="AJ267" s="403"/>
      <c r="AK267" s="403"/>
      <c r="AL267" s="403"/>
      <c r="AM267" s="403"/>
    </row>
    <row r="268" spans="1:39" hidden="1" x14ac:dyDescent="0.2">
      <c r="A268" s="403"/>
      <c r="B268" s="403"/>
      <c r="C268" s="403"/>
      <c r="D268" s="403"/>
      <c r="E268" s="403"/>
      <c r="F268" s="403"/>
      <c r="G268" s="403"/>
      <c r="H268" s="403"/>
      <c r="I268" s="403"/>
      <c r="J268" s="403"/>
      <c r="K268" s="403"/>
      <c r="L268" s="407"/>
      <c r="M268" s="407"/>
      <c r="N268" s="407"/>
      <c r="O268" s="403"/>
      <c r="P268" s="403"/>
      <c r="Q268" s="403"/>
      <c r="R268" s="403"/>
      <c r="S268" s="403"/>
      <c r="T268" s="407"/>
      <c r="U268" s="407"/>
      <c r="V268" s="407"/>
      <c r="W268" s="403"/>
      <c r="X268" s="403"/>
      <c r="Y268" s="403"/>
      <c r="Z268" s="403"/>
      <c r="AA268" s="403"/>
      <c r="AB268" s="403"/>
      <c r="AC268" s="403"/>
      <c r="AD268" s="403"/>
      <c r="AE268" s="403"/>
      <c r="AF268" s="403"/>
      <c r="AG268" s="403"/>
      <c r="AH268" s="403"/>
      <c r="AI268" s="403"/>
      <c r="AJ268" s="403"/>
      <c r="AK268" s="403"/>
      <c r="AL268" s="403"/>
      <c r="AM268" s="403"/>
    </row>
    <row r="269" spans="1:39" hidden="1" x14ac:dyDescent="0.2">
      <c r="A269" s="403"/>
      <c r="B269" s="403"/>
      <c r="C269" s="403"/>
      <c r="D269" s="403"/>
      <c r="E269" s="403"/>
      <c r="F269" s="403"/>
      <c r="G269" s="403"/>
      <c r="H269" s="403"/>
      <c r="I269" s="403"/>
      <c r="J269" s="403"/>
      <c r="K269" s="403"/>
      <c r="L269" s="407"/>
      <c r="M269" s="407"/>
      <c r="N269" s="407"/>
      <c r="O269" s="403"/>
      <c r="P269" s="403"/>
      <c r="Q269" s="403"/>
      <c r="R269" s="403"/>
      <c r="S269" s="403"/>
      <c r="T269" s="407"/>
      <c r="U269" s="407"/>
      <c r="V269" s="407"/>
      <c r="W269" s="403"/>
      <c r="X269" s="403"/>
      <c r="Y269" s="403"/>
      <c r="Z269" s="403"/>
      <c r="AA269" s="403"/>
      <c r="AB269" s="403"/>
      <c r="AC269" s="403"/>
      <c r="AD269" s="403"/>
      <c r="AE269" s="403"/>
      <c r="AF269" s="403"/>
      <c r="AG269" s="403"/>
      <c r="AH269" s="403"/>
      <c r="AI269" s="403"/>
      <c r="AJ269" s="403"/>
      <c r="AK269" s="403"/>
      <c r="AL269" s="403"/>
      <c r="AM269" s="403"/>
    </row>
    <row r="270" spans="1:39" hidden="1" x14ac:dyDescent="0.2">
      <c r="A270" s="403"/>
      <c r="B270" s="403"/>
      <c r="C270" s="403"/>
      <c r="D270" s="403"/>
      <c r="E270" s="403"/>
      <c r="F270" s="403"/>
      <c r="G270" s="403"/>
      <c r="H270" s="403"/>
      <c r="I270" s="403"/>
      <c r="J270" s="403"/>
      <c r="K270" s="403"/>
      <c r="L270" s="407"/>
      <c r="M270" s="407"/>
      <c r="N270" s="407"/>
      <c r="O270" s="403"/>
      <c r="P270" s="403"/>
      <c r="Q270" s="403"/>
      <c r="R270" s="403"/>
      <c r="S270" s="403"/>
      <c r="T270" s="407"/>
      <c r="U270" s="407"/>
      <c r="V270" s="407"/>
      <c r="W270" s="403"/>
      <c r="X270" s="403"/>
      <c r="Y270" s="403"/>
      <c r="Z270" s="403"/>
      <c r="AA270" s="403"/>
      <c r="AB270" s="403"/>
      <c r="AC270" s="403"/>
      <c r="AD270" s="403"/>
      <c r="AE270" s="403"/>
      <c r="AF270" s="403"/>
      <c r="AG270" s="403"/>
      <c r="AH270" s="403"/>
      <c r="AI270" s="403"/>
      <c r="AJ270" s="403"/>
      <c r="AK270" s="403"/>
      <c r="AL270" s="403"/>
      <c r="AM270" s="403"/>
    </row>
    <row r="271" spans="1:39" hidden="1" x14ac:dyDescent="0.2">
      <c r="A271" s="403"/>
      <c r="B271" s="403"/>
      <c r="C271" s="403"/>
      <c r="D271" s="403"/>
      <c r="E271" s="403"/>
      <c r="F271" s="403"/>
      <c r="G271" s="403"/>
      <c r="H271" s="403"/>
      <c r="I271" s="403"/>
      <c r="J271" s="403"/>
      <c r="K271" s="403"/>
      <c r="L271" s="407"/>
      <c r="M271" s="407"/>
      <c r="N271" s="407"/>
      <c r="O271" s="403"/>
      <c r="P271" s="403"/>
      <c r="Q271" s="403"/>
      <c r="R271" s="403"/>
      <c r="S271" s="403"/>
      <c r="T271" s="407"/>
      <c r="U271" s="407"/>
      <c r="V271" s="407"/>
      <c r="W271" s="403"/>
      <c r="X271" s="403"/>
      <c r="Y271" s="403"/>
      <c r="Z271" s="403"/>
      <c r="AA271" s="403"/>
      <c r="AB271" s="403"/>
      <c r="AC271" s="403"/>
      <c r="AD271" s="403"/>
      <c r="AE271" s="403"/>
      <c r="AF271" s="403"/>
      <c r="AG271" s="403"/>
      <c r="AH271" s="403"/>
      <c r="AI271" s="403"/>
      <c r="AJ271" s="403"/>
      <c r="AK271" s="403"/>
      <c r="AL271" s="403"/>
      <c r="AM271" s="403"/>
    </row>
    <row r="272" spans="1:39" hidden="1" x14ac:dyDescent="0.2">
      <c r="A272" s="403"/>
      <c r="B272" s="403"/>
      <c r="C272" s="403"/>
      <c r="D272" s="403"/>
      <c r="E272" s="403"/>
      <c r="F272" s="403"/>
      <c r="G272" s="403"/>
      <c r="H272" s="403"/>
      <c r="I272" s="403"/>
      <c r="J272" s="403"/>
      <c r="K272" s="403"/>
      <c r="L272" s="407"/>
      <c r="M272" s="407"/>
      <c r="N272" s="407"/>
      <c r="O272" s="403"/>
      <c r="P272" s="403"/>
      <c r="Q272" s="403"/>
      <c r="R272" s="403"/>
      <c r="S272" s="403"/>
      <c r="T272" s="407"/>
      <c r="U272" s="407"/>
      <c r="V272" s="407"/>
      <c r="W272" s="403"/>
      <c r="X272" s="403"/>
      <c r="Y272" s="403"/>
      <c r="Z272" s="403"/>
      <c r="AA272" s="403"/>
      <c r="AB272" s="403"/>
      <c r="AC272" s="403"/>
      <c r="AD272" s="403"/>
      <c r="AE272" s="403"/>
      <c r="AF272" s="403"/>
      <c r="AG272" s="403"/>
      <c r="AH272" s="403"/>
      <c r="AI272" s="403"/>
      <c r="AJ272" s="403"/>
      <c r="AK272" s="403"/>
      <c r="AL272" s="403"/>
      <c r="AM272" s="403"/>
    </row>
    <row r="273" spans="1:39" hidden="1" x14ac:dyDescent="0.2">
      <c r="A273" s="403"/>
      <c r="B273" s="403"/>
      <c r="C273" s="403"/>
      <c r="D273" s="403"/>
      <c r="E273" s="403"/>
      <c r="F273" s="403"/>
      <c r="G273" s="403"/>
      <c r="H273" s="403"/>
      <c r="I273" s="403"/>
      <c r="J273" s="403"/>
      <c r="K273" s="403"/>
      <c r="L273" s="407"/>
      <c r="M273" s="407"/>
      <c r="N273" s="407"/>
      <c r="O273" s="403"/>
      <c r="P273" s="403"/>
      <c r="Q273" s="403"/>
      <c r="R273" s="403"/>
      <c r="S273" s="403"/>
      <c r="T273" s="407"/>
      <c r="U273" s="407"/>
      <c r="V273" s="407"/>
      <c r="W273" s="403"/>
      <c r="X273" s="403"/>
      <c r="Y273" s="403"/>
      <c r="Z273" s="403"/>
      <c r="AA273" s="403"/>
      <c r="AB273" s="403"/>
      <c r="AC273" s="403"/>
      <c r="AD273" s="403"/>
      <c r="AE273" s="403"/>
      <c r="AF273" s="403"/>
      <c r="AG273" s="403"/>
      <c r="AH273" s="403"/>
      <c r="AI273" s="403"/>
      <c r="AJ273" s="403"/>
      <c r="AK273" s="403"/>
      <c r="AL273" s="403"/>
      <c r="AM273" s="403"/>
    </row>
    <row r="274" spans="1:39" hidden="1" x14ac:dyDescent="0.2">
      <c r="A274" s="403"/>
      <c r="B274" s="403"/>
      <c r="C274" s="403"/>
      <c r="D274" s="403"/>
      <c r="E274" s="403"/>
      <c r="F274" s="403"/>
      <c r="G274" s="403"/>
      <c r="H274" s="403"/>
      <c r="I274" s="403"/>
      <c r="J274" s="403"/>
      <c r="K274" s="403"/>
      <c r="L274" s="407"/>
      <c r="M274" s="407"/>
      <c r="N274" s="407"/>
      <c r="O274" s="403"/>
      <c r="P274" s="403"/>
      <c r="Q274" s="403"/>
      <c r="R274" s="403"/>
      <c r="S274" s="403"/>
      <c r="T274" s="407"/>
      <c r="U274" s="407"/>
      <c r="V274" s="407"/>
      <c r="W274" s="403"/>
      <c r="X274" s="403"/>
      <c r="Y274" s="403"/>
      <c r="Z274" s="403"/>
      <c r="AA274" s="403"/>
      <c r="AB274" s="403"/>
      <c r="AC274" s="403"/>
      <c r="AD274" s="403"/>
      <c r="AE274" s="403"/>
      <c r="AF274" s="403"/>
      <c r="AG274" s="403"/>
      <c r="AH274" s="403"/>
      <c r="AI274" s="403"/>
      <c r="AJ274" s="403"/>
      <c r="AK274" s="403"/>
      <c r="AL274" s="403"/>
      <c r="AM274" s="403"/>
    </row>
    <row r="275" spans="1:39" hidden="1" x14ac:dyDescent="0.2">
      <c r="A275" s="403"/>
      <c r="B275" s="403"/>
      <c r="C275" s="403"/>
      <c r="D275" s="403"/>
      <c r="E275" s="403"/>
      <c r="F275" s="403"/>
      <c r="G275" s="403"/>
      <c r="H275" s="403"/>
      <c r="I275" s="403"/>
      <c r="J275" s="403"/>
      <c r="K275" s="403"/>
      <c r="L275" s="407"/>
      <c r="M275" s="407"/>
      <c r="N275" s="407"/>
      <c r="O275" s="403"/>
      <c r="P275" s="403"/>
      <c r="Q275" s="403"/>
      <c r="R275" s="403"/>
      <c r="S275" s="403"/>
      <c r="T275" s="407"/>
      <c r="U275" s="407"/>
      <c r="V275" s="407"/>
      <c r="W275" s="403"/>
      <c r="X275" s="403"/>
      <c r="Y275" s="403"/>
      <c r="Z275" s="403"/>
      <c r="AA275" s="403"/>
      <c r="AB275" s="403"/>
      <c r="AC275" s="403"/>
      <c r="AD275" s="403"/>
      <c r="AE275" s="403"/>
      <c r="AF275" s="403"/>
      <c r="AG275" s="403"/>
      <c r="AH275" s="403"/>
      <c r="AI275" s="403"/>
      <c r="AJ275" s="403"/>
      <c r="AK275" s="403"/>
      <c r="AL275" s="403"/>
      <c r="AM275" s="403"/>
    </row>
    <row r="276" spans="1:39" hidden="1" x14ac:dyDescent="0.2">
      <c r="A276" s="403"/>
      <c r="B276" s="403"/>
      <c r="C276" s="403"/>
      <c r="D276" s="403"/>
      <c r="E276" s="403"/>
      <c r="F276" s="403"/>
      <c r="G276" s="403"/>
      <c r="H276" s="403"/>
      <c r="I276" s="403"/>
      <c r="J276" s="403"/>
      <c r="K276" s="403"/>
      <c r="L276" s="407"/>
      <c r="M276" s="407"/>
      <c r="N276" s="407"/>
      <c r="O276" s="403"/>
      <c r="P276" s="403"/>
      <c r="Q276" s="403"/>
      <c r="R276" s="403"/>
      <c r="S276" s="403"/>
      <c r="T276" s="407"/>
      <c r="U276" s="407"/>
      <c r="V276" s="407"/>
      <c r="W276" s="403"/>
      <c r="X276" s="403"/>
      <c r="Y276" s="403"/>
      <c r="Z276" s="403"/>
      <c r="AA276" s="403"/>
      <c r="AB276" s="403"/>
      <c r="AC276" s="403"/>
      <c r="AD276" s="403"/>
      <c r="AE276" s="403"/>
      <c r="AF276" s="403"/>
      <c r="AG276" s="403"/>
      <c r="AH276" s="403"/>
      <c r="AI276" s="403"/>
      <c r="AJ276" s="403"/>
      <c r="AK276" s="403"/>
      <c r="AL276" s="403"/>
      <c r="AM276" s="403"/>
    </row>
    <row r="277" spans="1:39" hidden="1" x14ac:dyDescent="0.2">
      <c r="A277" s="403"/>
      <c r="B277" s="403"/>
      <c r="C277" s="403"/>
      <c r="D277" s="403"/>
      <c r="E277" s="403"/>
      <c r="F277" s="403"/>
      <c r="G277" s="403"/>
      <c r="H277" s="403"/>
      <c r="I277" s="403"/>
      <c r="J277" s="403"/>
      <c r="K277" s="403"/>
      <c r="L277" s="407"/>
      <c r="M277" s="407"/>
      <c r="N277" s="407"/>
      <c r="O277" s="403"/>
      <c r="P277" s="403"/>
      <c r="Q277" s="403"/>
      <c r="R277" s="403"/>
      <c r="S277" s="403"/>
      <c r="T277" s="407"/>
      <c r="U277" s="407"/>
      <c r="V277" s="407"/>
      <c r="W277" s="403"/>
      <c r="X277" s="403"/>
      <c r="Y277" s="403"/>
      <c r="Z277" s="403"/>
      <c r="AA277" s="403"/>
      <c r="AB277" s="403"/>
      <c r="AC277" s="403"/>
      <c r="AD277" s="403"/>
      <c r="AE277" s="403"/>
      <c r="AF277" s="403"/>
      <c r="AG277" s="403"/>
      <c r="AH277" s="403"/>
      <c r="AI277" s="403"/>
      <c r="AJ277" s="403"/>
      <c r="AK277" s="403"/>
      <c r="AL277" s="403"/>
      <c r="AM277" s="403"/>
    </row>
    <row r="278" spans="1:39" hidden="1" x14ac:dyDescent="0.2">
      <c r="A278" s="403"/>
      <c r="B278" s="403"/>
      <c r="C278" s="403"/>
      <c r="D278" s="403"/>
      <c r="E278" s="403"/>
      <c r="F278" s="403"/>
      <c r="G278" s="403"/>
      <c r="H278" s="403"/>
      <c r="I278" s="403"/>
      <c r="J278" s="403"/>
      <c r="K278" s="403"/>
      <c r="L278" s="407"/>
      <c r="M278" s="407"/>
      <c r="N278" s="407"/>
      <c r="O278" s="403"/>
      <c r="P278" s="403"/>
      <c r="Q278" s="403"/>
      <c r="R278" s="403"/>
      <c r="S278" s="403"/>
      <c r="T278" s="407"/>
      <c r="U278" s="407"/>
      <c r="V278" s="407"/>
      <c r="W278" s="403"/>
      <c r="X278" s="403"/>
      <c r="Y278" s="403"/>
      <c r="Z278" s="403"/>
      <c r="AA278" s="403"/>
      <c r="AB278" s="403"/>
      <c r="AC278" s="403"/>
      <c r="AD278" s="403"/>
      <c r="AE278" s="403"/>
      <c r="AF278" s="403"/>
      <c r="AG278" s="403"/>
      <c r="AH278" s="403"/>
      <c r="AI278" s="403"/>
      <c r="AJ278" s="403"/>
      <c r="AK278" s="403"/>
      <c r="AL278" s="403"/>
      <c r="AM278" s="403"/>
    </row>
    <row r="279" spans="1:39" hidden="1" x14ac:dyDescent="0.2">
      <c r="A279" s="403"/>
      <c r="B279" s="403"/>
      <c r="C279" s="403"/>
      <c r="D279" s="403"/>
      <c r="E279" s="403"/>
      <c r="F279" s="403"/>
      <c r="G279" s="403"/>
      <c r="H279" s="403"/>
      <c r="I279" s="403"/>
      <c r="J279" s="403"/>
      <c r="K279" s="403"/>
      <c r="L279" s="407"/>
      <c r="M279" s="407"/>
      <c r="N279" s="407"/>
      <c r="O279" s="403"/>
      <c r="P279" s="403"/>
      <c r="Q279" s="403"/>
      <c r="R279" s="403"/>
      <c r="S279" s="403"/>
      <c r="T279" s="407"/>
      <c r="U279" s="407"/>
      <c r="V279" s="407"/>
      <c r="W279" s="403"/>
      <c r="X279" s="403"/>
      <c r="Y279" s="403"/>
      <c r="Z279" s="403"/>
      <c r="AA279" s="403"/>
      <c r="AB279" s="403"/>
      <c r="AC279" s="403"/>
      <c r="AD279" s="403"/>
      <c r="AE279" s="403"/>
      <c r="AF279" s="403"/>
      <c r="AG279" s="403"/>
      <c r="AH279" s="403"/>
      <c r="AI279" s="403"/>
      <c r="AJ279" s="403"/>
      <c r="AK279" s="403"/>
      <c r="AL279" s="403"/>
      <c r="AM279" s="403"/>
    </row>
    <row r="280" spans="1:39" hidden="1" x14ac:dyDescent="0.2">
      <c r="A280" s="403"/>
      <c r="B280" s="403"/>
      <c r="C280" s="403"/>
      <c r="D280" s="403"/>
      <c r="E280" s="403"/>
      <c r="F280" s="403"/>
      <c r="G280" s="403"/>
      <c r="H280" s="403"/>
      <c r="I280" s="403"/>
      <c r="J280" s="403"/>
      <c r="K280" s="403"/>
      <c r="L280" s="407"/>
      <c r="M280" s="407"/>
      <c r="N280" s="407"/>
      <c r="O280" s="403"/>
      <c r="P280" s="403"/>
      <c r="Q280" s="403"/>
      <c r="R280" s="403"/>
      <c r="S280" s="403"/>
      <c r="T280" s="407"/>
      <c r="U280" s="407"/>
      <c r="V280" s="407"/>
      <c r="W280" s="403"/>
      <c r="X280" s="403"/>
      <c r="Y280" s="403"/>
      <c r="Z280" s="403"/>
      <c r="AA280" s="403"/>
      <c r="AB280" s="403"/>
      <c r="AC280" s="403"/>
      <c r="AD280" s="403"/>
      <c r="AE280" s="403"/>
      <c r="AF280" s="403"/>
      <c r="AG280" s="403"/>
      <c r="AH280" s="403"/>
      <c r="AI280" s="403"/>
      <c r="AJ280" s="403"/>
      <c r="AK280" s="403"/>
      <c r="AL280" s="403"/>
      <c r="AM280" s="403"/>
    </row>
    <row r="281" spans="1:39" hidden="1" x14ac:dyDescent="0.2">
      <c r="A281" s="403"/>
      <c r="B281" s="403"/>
      <c r="C281" s="403"/>
      <c r="D281" s="403"/>
      <c r="E281" s="403"/>
      <c r="F281" s="403"/>
      <c r="G281" s="403"/>
      <c r="H281" s="403"/>
      <c r="I281" s="403"/>
      <c r="J281" s="403"/>
      <c r="K281" s="403"/>
      <c r="L281" s="407"/>
      <c r="M281" s="407"/>
      <c r="N281" s="407"/>
      <c r="O281" s="403"/>
      <c r="P281" s="403"/>
      <c r="Q281" s="403"/>
      <c r="R281" s="403"/>
      <c r="S281" s="403"/>
      <c r="T281" s="407"/>
      <c r="U281" s="407"/>
      <c r="V281" s="407"/>
      <c r="W281" s="403"/>
      <c r="X281" s="403"/>
      <c r="Y281" s="403"/>
      <c r="Z281" s="403"/>
      <c r="AA281" s="403"/>
      <c r="AB281" s="403"/>
      <c r="AC281" s="403"/>
      <c r="AD281" s="403"/>
      <c r="AE281" s="403"/>
      <c r="AF281" s="403"/>
      <c r="AG281" s="403"/>
      <c r="AH281" s="403"/>
      <c r="AI281" s="403"/>
      <c r="AJ281" s="403"/>
      <c r="AK281" s="403"/>
      <c r="AL281" s="403"/>
      <c r="AM281" s="403"/>
    </row>
    <row r="282" spans="1:39" hidden="1" x14ac:dyDescent="0.2">
      <c r="A282" s="403"/>
      <c r="B282" s="403"/>
      <c r="C282" s="403"/>
      <c r="D282" s="403"/>
      <c r="E282" s="403"/>
      <c r="F282" s="403"/>
      <c r="G282" s="403"/>
      <c r="H282" s="403"/>
      <c r="I282" s="403"/>
      <c r="J282" s="403"/>
      <c r="K282" s="403"/>
      <c r="L282" s="407"/>
      <c r="M282" s="407"/>
      <c r="N282" s="407"/>
      <c r="O282" s="403"/>
      <c r="P282" s="403"/>
      <c r="Q282" s="403"/>
      <c r="R282" s="403"/>
      <c r="S282" s="403"/>
      <c r="T282" s="407"/>
      <c r="U282" s="407"/>
      <c r="V282" s="407"/>
      <c r="W282" s="403"/>
      <c r="X282" s="403"/>
      <c r="Y282" s="403"/>
      <c r="Z282" s="403"/>
      <c r="AA282" s="403"/>
      <c r="AB282" s="403"/>
      <c r="AC282" s="403"/>
      <c r="AD282" s="403"/>
      <c r="AE282" s="403"/>
      <c r="AF282" s="403"/>
      <c r="AG282" s="403"/>
      <c r="AH282" s="403"/>
      <c r="AI282" s="403"/>
      <c r="AJ282" s="403"/>
      <c r="AK282" s="403"/>
      <c r="AL282" s="403"/>
      <c r="AM282" s="403"/>
    </row>
    <row r="283" spans="1:39" hidden="1" x14ac:dyDescent="0.2">
      <c r="A283" s="403"/>
      <c r="B283" s="403"/>
      <c r="C283" s="403"/>
      <c r="D283" s="403"/>
      <c r="E283" s="403"/>
      <c r="F283" s="403"/>
      <c r="G283" s="403"/>
      <c r="H283" s="403"/>
      <c r="I283" s="403"/>
      <c r="J283" s="403"/>
      <c r="K283" s="403"/>
      <c r="L283" s="407"/>
      <c r="M283" s="407"/>
      <c r="N283" s="407"/>
      <c r="O283" s="403"/>
      <c r="P283" s="403"/>
      <c r="Q283" s="403"/>
      <c r="R283" s="403"/>
      <c r="S283" s="403"/>
      <c r="T283" s="407"/>
      <c r="U283" s="407"/>
      <c r="V283" s="407"/>
      <c r="W283" s="403"/>
      <c r="X283" s="403"/>
      <c r="Y283" s="403"/>
      <c r="Z283" s="403"/>
      <c r="AA283" s="403"/>
      <c r="AB283" s="403"/>
      <c r="AC283" s="403"/>
      <c r="AD283" s="403"/>
      <c r="AE283" s="403"/>
      <c r="AF283" s="403"/>
      <c r="AG283" s="403"/>
      <c r="AH283" s="403"/>
      <c r="AI283" s="403"/>
      <c r="AJ283" s="403"/>
      <c r="AK283" s="403"/>
      <c r="AL283" s="403"/>
      <c r="AM283" s="403"/>
    </row>
    <row r="284" spans="1:39" hidden="1" x14ac:dyDescent="0.2">
      <c r="A284" s="403"/>
      <c r="B284" s="403"/>
      <c r="C284" s="403"/>
      <c r="D284" s="403"/>
      <c r="E284" s="403"/>
      <c r="F284" s="403"/>
      <c r="G284" s="403"/>
      <c r="H284" s="403"/>
      <c r="I284" s="403"/>
      <c r="J284" s="403"/>
      <c r="K284" s="403"/>
      <c r="L284" s="407"/>
      <c r="M284" s="407"/>
      <c r="N284" s="407"/>
      <c r="O284" s="403"/>
      <c r="P284" s="403"/>
      <c r="Q284" s="403"/>
      <c r="R284" s="403"/>
      <c r="S284" s="403"/>
      <c r="T284" s="407"/>
      <c r="U284" s="407"/>
      <c r="V284" s="407"/>
      <c r="W284" s="403"/>
      <c r="X284" s="403"/>
      <c r="Y284" s="403"/>
      <c r="Z284" s="403"/>
      <c r="AA284" s="403"/>
      <c r="AB284" s="403"/>
      <c r="AC284" s="403"/>
      <c r="AD284" s="403"/>
      <c r="AE284" s="403"/>
      <c r="AF284" s="403"/>
      <c r="AG284" s="403"/>
      <c r="AH284" s="403"/>
      <c r="AI284" s="403"/>
      <c r="AJ284" s="403"/>
      <c r="AK284" s="403"/>
      <c r="AL284" s="403"/>
      <c r="AM284" s="403"/>
    </row>
    <row r="285" spans="1:39" hidden="1" x14ac:dyDescent="0.2">
      <c r="A285" s="403"/>
      <c r="B285" s="403"/>
      <c r="C285" s="403"/>
      <c r="D285" s="403"/>
      <c r="E285" s="403"/>
      <c r="F285" s="403"/>
      <c r="G285" s="403"/>
      <c r="H285" s="403"/>
      <c r="I285" s="403"/>
      <c r="J285" s="403"/>
      <c r="K285" s="403"/>
      <c r="L285" s="407"/>
      <c r="M285" s="407"/>
      <c r="N285" s="407"/>
      <c r="O285" s="403"/>
      <c r="P285" s="403"/>
      <c r="Q285" s="403"/>
      <c r="R285" s="403"/>
      <c r="S285" s="403"/>
      <c r="T285" s="407"/>
      <c r="U285" s="407"/>
      <c r="V285" s="407"/>
      <c r="W285" s="403"/>
      <c r="X285" s="403"/>
      <c r="Y285" s="403"/>
      <c r="Z285" s="403"/>
      <c r="AA285" s="403"/>
      <c r="AB285" s="403"/>
      <c r="AC285" s="403"/>
      <c r="AD285" s="403"/>
      <c r="AE285" s="403"/>
      <c r="AF285" s="403"/>
      <c r="AG285" s="403"/>
      <c r="AH285" s="403"/>
      <c r="AI285" s="403"/>
      <c r="AJ285" s="403"/>
      <c r="AK285" s="403"/>
      <c r="AL285" s="403"/>
      <c r="AM285" s="403"/>
    </row>
    <row r="286" spans="1:39" hidden="1" x14ac:dyDescent="0.2">
      <c r="D286" s="448"/>
      <c r="E286" s="448"/>
      <c r="F286" s="403"/>
      <c r="G286" s="403"/>
      <c r="H286" s="403"/>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row>
    <row r="287" spans="1:39" hidden="1" x14ac:dyDescent="0.2">
      <c r="D287" s="452"/>
      <c r="E287" s="452"/>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row>
    <row r="288" spans="1:39" hidden="1" x14ac:dyDescent="0.2">
      <c r="D288" s="404"/>
      <c r="E288" s="404"/>
      <c r="F288" s="403"/>
      <c r="G288" s="403"/>
      <c r="H288" s="403"/>
      <c r="I288" s="403"/>
      <c r="J288" s="403"/>
      <c r="K288" s="403"/>
      <c r="L288" s="403"/>
      <c r="M288" s="403"/>
      <c r="N288" s="403"/>
      <c r="O288" s="403"/>
      <c r="P288" s="403"/>
      <c r="Q288" s="403"/>
      <c r="R288" s="403"/>
      <c r="S288" s="403"/>
      <c r="T288" s="403"/>
      <c r="U288" s="403"/>
      <c r="V288" s="403"/>
      <c r="W288" s="453"/>
      <c r="X288" s="403"/>
      <c r="Y288" s="403"/>
      <c r="Z288" s="403"/>
      <c r="AA288" s="403"/>
      <c r="AB288" s="403"/>
      <c r="AC288" s="403"/>
      <c r="AD288" s="403"/>
      <c r="AE288" s="403"/>
      <c r="AF288" s="403"/>
      <c r="AG288" s="403"/>
      <c r="AH288" s="403"/>
      <c r="AI288" s="403"/>
      <c r="AJ288" s="403"/>
      <c r="AK288" s="403"/>
      <c r="AL288" s="403"/>
      <c r="AM288" s="403"/>
    </row>
    <row r="289" spans="1:39" hidden="1" x14ac:dyDescent="0.2">
      <c r="D289" s="404"/>
      <c r="E289" s="404"/>
      <c r="F289" s="403"/>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row>
    <row r="290" spans="1:39" hidden="1" x14ac:dyDescent="0.2">
      <c r="D290" s="404"/>
      <c r="E290" s="404"/>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row>
    <row r="291" spans="1:39" hidden="1" x14ac:dyDescent="0.2">
      <c r="D291" s="404"/>
      <c r="E291" s="404"/>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row>
    <row r="292" spans="1:39" hidden="1" x14ac:dyDescent="0.2">
      <c r="D292" s="404"/>
      <c r="E292" s="404"/>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row>
    <row r="293" spans="1:39" hidden="1" x14ac:dyDescent="0.2">
      <c r="D293" s="404"/>
      <c r="E293" s="404"/>
      <c r="F293" s="403"/>
      <c r="G293" s="403"/>
      <c r="H293" s="403"/>
      <c r="I293" s="403"/>
      <c r="J293" s="403"/>
      <c r="K293" s="403"/>
      <c r="L293" s="403"/>
      <c r="M293" s="403"/>
      <c r="N293" s="403"/>
      <c r="O293" s="403"/>
      <c r="P293" s="403"/>
      <c r="Q293" s="403"/>
      <c r="R293" s="403"/>
      <c r="S293" s="403"/>
      <c r="T293" s="403"/>
      <c r="U293" s="403"/>
      <c r="V293" s="403"/>
      <c r="W293" s="453"/>
      <c r="X293" s="403"/>
      <c r="Y293" s="403"/>
      <c r="Z293" s="403"/>
      <c r="AA293" s="403"/>
      <c r="AB293" s="403"/>
      <c r="AC293" s="403"/>
      <c r="AD293" s="403"/>
      <c r="AE293" s="403"/>
      <c r="AF293" s="403"/>
      <c r="AG293" s="403"/>
      <c r="AH293" s="403"/>
      <c r="AI293" s="403"/>
      <c r="AJ293" s="403"/>
      <c r="AK293" s="403"/>
      <c r="AL293" s="403"/>
      <c r="AM293" s="403"/>
    </row>
    <row r="294" spans="1:39" hidden="1" x14ac:dyDescent="0.2">
      <c r="D294" s="404"/>
      <c r="E294" s="404"/>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row>
    <row r="295" spans="1:39" hidden="1" x14ac:dyDescent="0.2">
      <c r="D295" s="404"/>
      <c r="E295" s="404"/>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row>
    <row r="296" spans="1:39" hidden="1" x14ac:dyDescent="0.2">
      <c r="D296" s="404"/>
      <c r="E296" s="404"/>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row>
    <row r="297" spans="1:39" hidden="1" x14ac:dyDescent="0.2">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row>
    <row r="299" spans="1:39" x14ac:dyDescent="0.2">
      <c r="A299" s="403"/>
      <c r="B299" s="403"/>
      <c r="C299" s="447" t="s">
        <v>69</v>
      </c>
    </row>
    <row r="300" spans="1:39" x14ac:dyDescent="0.2">
      <c r="A300" s="449">
        <v>1</v>
      </c>
      <c r="B300" s="450" t="str">
        <f t="shared" ref="B300:B310" si="11">IFERROR(INDEX(B$1:B$87,MATCH(A300,A$1:A$87,0)),"")</f>
        <v>Kenneth Muusikus, Tõnis Neiland</v>
      </c>
      <c r="C300" s="981">
        <v>40</v>
      </c>
    </row>
    <row r="301" spans="1:39" x14ac:dyDescent="0.2">
      <c r="A301" s="449">
        <v>2</v>
      </c>
      <c r="B301" s="450" t="str">
        <f t="shared" si="11"/>
        <v>Ivar Viljaste, Kristo Viljaste</v>
      </c>
      <c r="C301" s="981">
        <v>34</v>
      </c>
    </row>
    <row r="302" spans="1:39" x14ac:dyDescent="0.2">
      <c r="A302" s="449">
        <v>3</v>
      </c>
      <c r="B302" s="450" t="str">
        <f t="shared" si="11"/>
        <v>Henri Mitt, Sander Rose</v>
      </c>
      <c r="C302" s="981">
        <v>30</v>
      </c>
    </row>
    <row r="303" spans="1:39" x14ac:dyDescent="0.2">
      <c r="A303" s="449">
        <v>4</v>
      </c>
      <c r="B303" s="450" t="str">
        <f t="shared" si="11"/>
        <v>Boriss Klubov, Elmo Lageda</v>
      </c>
      <c r="C303" s="981">
        <v>26</v>
      </c>
    </row>
    <row r="304" spans="1:39" x14ac:dyDescent="0.2">
      <c r="A304" s="449">
        <v>5</v>
      </c>
      <c r="B304" s="450" t="str">
        <f t="shared" si="11"/>
        <v>Jaan Sepp, Oskar Sepp</v>
      </c>
      <c r="C304" s="981">
        <v>24</v>
      </c>
    </row>
    <row r="305" spans="1:3" x14ac:dyDescent="0.2">
      <c r="A305" s="449">
        <v>6</v>
      </c>
      <c r="B305" s="450" t="str">
        <f t="shared" si="11"/>
        <v>Andres Veski, Svetlana Veski</v>
      </c>
      <c r="C305" s="981">
        <v>22</v>
      </c>
    </row>
    <row r="306" spans="1:3" x14ac:dyDescent="0.2">
      <c r="A306" s="449">
        <v>7</v>
      </c>
      <c r="B306" s="450" t="str">
        <f t="shared" si="11"/>
        <v>Kaspar Mänd, Matti Vinni</v>
      </c>
      <c r="C306" s="981">
        <v>20</v>
      </c>
    </row>
    <row r="307" spans="1:3" x14ac:dyDescent="0.2">
      <c r="A307" s="449">
        <v>8</v>
      </c>
      <c r="B307" s="450" t="str">
        <f t="shared" si="11"/>
        <v>Aarne Välja, Janek Tarto</v>
      </c>
      <c r="C307" s="981">
        <v>18</v>
      </c>
    </row>
    <row r="308" spans="1:3" x14ac:dyDescent="0.2">
      <c r="A308" s="449">
        <v>9</v>
      </c>
      <c r="B308" s="450" t="str">
        <f t="shared" si="11"/>
        <v>Imre Meller, Marko Rooden</v>
      </c>
      <c r="C308" s="981">
        <v>16</v>
      </c>
    </row>
    <row r="309" spans="1:3" x14ac:dyDescent="0.2">
      <c r="A309" s="449">
        <v>10</v>
      </c>
      <c r="B309" s="450" t="str">
        <f t="shared" si="11"/>
        <v>Johannes Neiland, Oliver Ojasalu</v>
      </c>
      <c r="C309" s="621">
        <v>14</v>
      </c>
    </row>
    <row r="310" spans="1:3" x14ac:dyDescent="0.2">
      <c r="A310" s="449">
        <v>11</v>
      </c>
      <c r="B310" s="450" t="str">
        <f t="shared" si="11"/>
        <v>Tõnu Kapper, Vladimir Ogneštšikov</v>
      </c>
      <c r="C310" s="621">
        <v>12</v>
      </c>
    </row>
  </sheetData>
  <conditionalFormatting sqref="C8:C18">
    <cfRule type="expression" dxfId="2226" priority="31">
      <formula>IF($C8&gt;$E8,TRUE)</formula>
    </cfRule>
  </conditionalFormatting>
  <conditionalFormatting sqref="E8:E18">
    <cfRule type="expression" dxfId="2225" priority="32">
      <formula>IF($C8&lt;$E8,TRUE)</formula>
    </cfRule>
  </conditionalFormatting>
  <conditionalFormatting sqref="K8:K18">
    <cfRule type="expression" dxfId="2224" priority="39">
      <formula>IF($K8&gt;$M8,TRUE)</formula>
    </cfRule>
  </conditionalFormatting>
  <conditionalFormatting sqref="M8:M18">
    <cfRule type="expression" dxfId="2223" priority="40">
      <formula>IF($K8&lt;$M8,TRUE)</formula>
    </cfRule>
  </conditionalFormatting>
  <conditionalFormatting sqref="O8:O18">
    <cfRule type="expression" dxfId="2222" priority="43">
      <formula>IF($O8&gt;$Q8,TRUE)</formula>
    </cfRule>
  </conditionalFormatting>
  <conditionalFormatting sqref="Q8:Q18">
    <cfRule type="expression" dxfId="2221" priority="44">
      <formula>IF($O8&lt;$Q8,TRUE)</formula>
    </cfRule>
  </conditionalFormatting>
  <conditionalFormatting sqref="S8:S18">
    <cfRule type="expression" dxfId="2220" priority="47">
      <formula>IF($S8&gt;$U8,TRUE)</formula>
    </cfRule>
  </conditionalFormatting>
  <conditionalFormatting sqref="U8:U18">
    <cfRule type="expression" dxfId="2219" priority="48">
      <formula>IF($S8&lt;$U8,TRUE)</formula>
    </cfRule>
  </conditionalFormatting>
  <conditionalFormatting sqref="G8:G18">
    <cfRule type="expression" dxfId="2218" priority="35">
      <formula>IF($G8&gt;$I8,TRUE)</formula>
    </cfRule>
  </conditionalFormatting>
  <conditionalFormatting sqref="I8:I18">
    <cfRule type="expression" dxfId="2217" priority="36">
      <formula>IF($G8&lt;$I8,TRUE)</formula>
    </cfRule>
  </conditionalFormatting>
  <conditionalFormatting sqref="F8:F18">
    <cfRule type="containsText" dxfId="2216" priority="22" operator="containsText" text="vaba voor">
      <formula>NOT(ISERROR(SEARCH("vaba voor",F8)))</formula>
    </cfRule>
  </conditionalFormatting>
  <conditionalFormatting sqref="N8:N18">
    <cfRule type="containsText" dxfId="2215" priority="20" operator="containsText" text="vaba voor">
      <formula>NOT(ISERROR(SEARCH("vaba voor",N8)))</formula>
    </cfRule>
  </conditionalFormatting>
  <conditionalFormatting sqref="R8:R18">
    <cfRule type="containsText" dxfId="2214" priority="23" operator="containsText" text="vaba voor">
      <formula>NOT(ISERROR(SEARCH("vaba voor",R8)))</formula>
    </cfRule>
  </conditionalFormatting>
  <conditionalFormatting sqref="V8:V18">
    <cfRule type="containsText" dxfId="2213" priority="19" operator="containsText" text="vaba voor">
      <formula>NOT(ISERROR(SEARCH("vaba voor",V8)))</formula>
    </cfRule>
  </conditionalFormatting>
  <conditionalFormatting sqref="J8:J18">
    <cfRule type="containsText" dxfId="2212" priority="21" operator="containsText" text="vaba voor">
      <formula>NOT(ISERROR(SEARCH("vaba voor",J8)))</formula>
    </cfRule>
  </conditionalFormatting>
  <conditionalFormatting sqref="C8:F18">
    <cfRule type="expression" dxfId="2211" priority="27">
      <formula>IF(AND(ISNUMBER($C8),$C8=$E8),TRUE)</formula>
    </cfRule>
    <cfRule type="expression" dxfId="2210" priority="29">
      <formula>IF($C8&gt;$E8,TRUE)</formula>
    </cfRule>
    <cfRule type="expression" dxfId="2209" priority="30">
      <formula>IF($C8&lt;$E8,TRUE)</formula>
    </cfRule>
  </conditionalFormatting>
  <conditionalFormatting sqref="G8:J18">
    <cfRule type="expression" dxfId="2208" priority="28">
      <formula>IF(AND(ISNUMBER($G8),$G8=$I8),TRUE)</formula>
    </cfRule>
    <cfRule type="expression" dxfId="2207" priority="33">
      <formula>IF($G8&gt;$I8,TRUE)</formula>
    </cfRule>
    <cfRule type="expression" dxfId="2206" priority="34">
      <formula>IF($G8&lt;$I8,TRUE)</formula>
    </cfRule>
  </conditionalFormatting>
  <conditionalFormatting sqref="K8:N18">
    <cfRule type="expression" dxfId="2205" priority="26">
      <formula>IF(AND(ISNUMBER($K8),$K8=$M8),TRUE)</formula>
    </cfRule>
    <cfRule type="expression" dxfId="2204" priority="37">
      <formula>IF($K8&gt;$M8,TRUE)</formula>
    </cfRule>
    <cfRule type="expression" dxfId="2203" priority="38">
      <formula>IF($K8&lt;$M8,TRUE)</formula>
    </cfRule>
  </conditionalFormatting>
  <conditionalFormatting sqref="O8:R18">
    <cfRule type="expression" dxfId="2202" priority="25">
      <formula>IF(AND(ISNUMBER($O8),$O8=$Q8),TRUE)</formula>
    </cfRule>
    <cfRule type="expression" dxfId="2201" priority="41">
      <formula>IF($O8&gt;$Q8,TRUE)</formula>
    </cfRule>
    <cfRule type="expression" dxfId="2200" priority="42">
      <formula>IF($O8&lt;$Q8,TRUE)</formula>
    </cfRule>
  </conditionalFormatting>
  <conditionalFormatting sqref="S8:V18">
    <cfRule type="expression" dxfId="2199" priority="24">
      <formula>IF(AND(ISNUMBER($S8),$S8=$U8),TRUE)</formula>
    </cfRule>
    <cfRule type="expression" dxfId="2198" priority="45">
      <formula>IF($S8&gt;$U8,TRUE)</formula>
    </cfRule>
    <cfRule type="expression" dxfId="2197" priority="46">
      <formula>IF($S8&lt;$U8,TRUE)</formula>
    </cfRule>
  </conditionalFormatting>
  <conditionalFormatting sqref="C8:C18 G8:G18 K8:K18 O8:O18 S8:S18">
    <cfRule type="expression" dxfId="2196" priority="18">
      <formula>AND(C8=0,E8=13)</formula>
    </cfRule>
  </conditionalFormatting>
  <conditionalFormatting sqref="A8:A18">
    <cfRule type="duplicateValues" dxfId="2195" priority="49"/>
  </conditionalFormatting>
  <conditionalFormatting sqref="A300:A310">
    <cfRule type="duplicateValues" dxfId="2194" priority="50"/>
  </conditionalFormatting>
  <conditionalFormatting sqref="B300:B310">
    <cfRule type="expression" dxfId="2193" priority="51">
      <formula>A300=3</formula>
    </cfRule>
    <cfRule type="expression" dxfId="2192" priority="52">
      <formula>A300=2</formula>
    </cfRule>
    <cfRule type="expression" dxfId="2191" priority="53">
      <formula>A300=1</formula>
    </cfRule>
    <cfRule type="containsBlanks" dxfId="2190" priority="54">
      <formula>LEN(TRIM(B300))=0</formula>
    </cfRule>
    <cfRule type="duplicateValues" dxfId="2189" priority="55"/>
  </conditionalFormatting>
  <conditionalFormatting sqref="AJ6:AJ18">
    <cfRule type="expression" dxfId="2188" priority="5">
      <formula>AND(AI6="",FIND(",",AJ6))</formula>
    </cfRule>
    <cfRule type="expression" dxfId="2187" priority="7">
      <formula>AND(AI6="",COUNTIF(AJ6,"*,*")=0)</formula>
    </cfRule>
  </conditionalFormatting>
  <conditionalFormatting sqref="AH6:AH18">
    <cfRule type="expression" dxfId="2186" priority="8">
      <formula>AND(AG6="",FIND(",",AH6))</formula>
    </cfRule>
    <cfRule type="expression" dxfId="2185" priority="9">
      <formula>AND(AG6="",COUNTIF(AH6,"*,*")=0)</formula>
    </cfRule>
  </conditionalFormatting>
  <conditionalFormatting sqref="AL6:AL18">
    <cfRule type="expression" dxfId="2184" priority="10">
      <formula>AND(AK6="",FIND(",",AL6))</formula>
    </cfRule>
    <cfRule type="expression" dxfId="2183" priority="11">
      <formula>AND(AK6="",COUNTIF(AL6,"*,*")=0)</formula>
    </cfRule>
  </conditionalFormatting>
  <conditionalFormatting sqref="AF6:AF18">
    <cfRule type="expression" dxfId="2182" priority="6">
      <formula>AND(AE6="",COUNTIF(AF6,"*,*")=0)</formula>
    </cfRule>
  </conditionalFormatting>
  <conditionalFormatting sqref="AN6:AN18">
    <cfRule type="expression" dxfId="2181" priority="2">
      <formula>AND(AM6="",COUNTIF(AN6,"*,*")=0)</formula>
    </cfRule>
    <cfRule type="expression" dxfId="2180" priority="4">
      <formula>AND(AM6="",FIND(",",AN6))</formula>
    </cfRule>
  </conditionalFormatting>
  <conditionalFormatting sqref="AP6:AP18">
    <cfRule type="expression" dxfId="2179" priority="1">
      <formula>AND(AO6="",COUNTIF(AP6,"*,*")=0)</formula>
    </cfRule>
    <cfRule type="expression" dxfId="2178" priority="3">
      <formula>AND(AO6="",FIND(",",AP6))</formula>
    </cfRule>
  </conditionalFormatting>
  <pageMargins left="0.51181102362204722" right="0.27559055118110237" top="0.78740157480314965" bottom="0.39370078740157483" header="0.59055118110236227" footer="0"/>
  <pageSetup paperSize="9" fitToHeight="0" orientation="landscape" r:id="rId1"/>
  <headerFooter>
    <oddHeader>&amp;R&amp;9Page &amp;P of &amp;N</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V52"/>
  <sheetViews>
    <sheetView showGridLines="0" showRowColHeaders="0" zoomScaleNormal="100" workbookViewId="0">
      <selection activeCell="Q2" sqref="Q2"/>
    </sheetView>
  </sheetViews>
  <sheetFormatPr defaultRowHeight="12.75" x14ac:dyDescent="0.2"/>
  <cols>
    <col min="1" max="1" width="3.28515625" customWidth="1"/>
    <col min="2" max="2" width="3.28515625" hidden="1" customWidth="1"/>
    <col min="3" max="3" width="3.28515625" customWidth="1"/>
    <col min="4" max="4" width="3.28515625" hidden="1" customWidth="1"/>
    <col min="5" max="5" width="3.7109375" customWidth="1"/>
    <col min="6" max="6" width="23.5703125" customWidth="1"/>
    <col min="7" max="7" width="2.28515625" hidden="1" customWidth="1"/>
    <col min="8" max="8" width="1.85546875" hidden="1" customWidth="1"/>
    <col min="9" max="9" width="7.5703125" customWidth="1"/>
    <col min="10" max="10" width="21.140625" hidden="1" customWidth="1"/>
    <col min="11" max="11" width="26.5703125" hidden="1" customWidth="1"/>
    <col min="12" max="12" width="6.28515625" hidden="1" customWidth="1"/>
    <col min="13" max="13" width="4.7109375" hidden="1" customWidth="1"/>
    <col min="14" max="14" width="30.28515625" hidden="1" customWidth="1"/>
    <col min="15" max="15" width="8.5703125" hidden="1" customWidth="1"/>
    <col min="16" max="18" width="5.5703125" customWidth="1"/>
    <col min="19" max="21" width="3.28515625" customWidth="1"/>
  </cols>
  <sheetData>
    <row r="1" spans="1:22" x14ac:dyDescent="0.2">
      <c r="A1" s="171"/>
      <c r="B1" s="172"/>
      <c r="C1" s="34"/>
      <c r="D1" s="173"/>
      <c r="E1" s="271" t="s">
        <v>247</v>
      </c>
      <c r="F1" s="174"/>
      <c r="G1" s="175"/>
      <c r="H1" s="175"/>
      <c r="I1" s="174"/>
      <c r="J1" s="176"/>
      <c r="K1" s="177"/>
      <c r="L1" s="177"/>
      <c r="M1" s="177"/>
      <c r="N1" s="177"/>
      <c r="O1" s="177"/>
      <c r="P1" s="178"/>
      <c r="Q1" s="179"/>
      <c r="R1" s="181" t="s">
        <v>69</v>
      </c>
      <c r="S1" s="183"/>
      <c r="T1" s="184" t="s">
        <v>70</v>
      </c>
      <c r="U1" s="184"/>
    </row>
    <row r="2" spans="1:22" x14ac:dyDescent="0.2">
      <c r="A2" s="171"/>
      <c r="B2" s="171"/>
      <c r="C2" s="185"/>
      <c r="D2" s="185"/>
      <c r="E2" s="454" t="s">
        <v>248</v>
      </c>
      <c r="F2" s="186"/>
      <c r="G2" s="187"/>
      <c r="H2" s="187"/>
      <c r="I2" s="186"/>
      <c r="J2" s="186"/>
      <c r="K2" s="186"/>
      <c r="L2" s="186"/>
      <c r="M2" s="186"/>
      <c r="N2" s="186"/>
      <c r="O2" s="186"/>
      <c r="P2" s="186"/>
      <c r="Q2" s="186"/>
      <c r="R2" s="186"/>
      <c r="S2" s="171"/>
      <c r="T2" s="172" t="s">
        <v>71</v>
      </c>
      <c r="U2" s="172"/>
      <c r="V2" s="171"/>
    </row>
    <row r="3" spans="1:22" x14ac:dyDescent="0.2">
      <c r="A3" s="171"/>
      <c r="B3" s="171"/>
      <c r="C3" s="186"/>
      <c r="D3" s="186"/>
      <c r="E3" s="171"/>
      <c r="F3" s="186"/>
      <c r="G3" s="188"/>
      <c r="H3" s="188"/>
      <c r="I3" s="186"/>
      <c r="J3" s="186"/>
      <c r="K3" s="186"/>
      <c r="L3" s="186"/>
      <c r="M3" s="186"/>
      <c r="N3" s="186"/>
      <c r="O3" s="186"/>
      <c r="P3" s="186"/>
      <c r="Q3" s="186"/>
      <c r="R3" s="186"/>
      <c r="S3" s="171"/>
      <c r="T3" s="189" t="s">
        <v>72</v>
      </c>
      <c r="U3" s="189"/>
      <c r="V3" s="171"/>
    </row>
    <row r="4" spans="1:22" ht="30.75" customHeight="1" x14ac:dyDescent="0.2">
      <c r="A4" s="190"/>
      <c r="B4" s="190"/>
      <c r="C4" s="190"/>
      <c r="D4" s="190"/>
      <c r="E4" s="191"/>
      <c r="F4" s="191"/>
      <c r="G4" s="192"/>
      <c r="H4" s="192"/>
      <c r="I4" s="201"/>
      <c r="J4" s="201"/>
      <c r="K4" s="201"/>
      <c r="L4" s="201"/>
      <c r="M4" s="201"/>
      <c r="N4" s="201"/>
      <c r="O4" s="201"/>
      <c r="P4" s="455" t="str">
        <f>MID(Kalend!$A6,4,5)</f>
        <v>13.05</v>
      </c>
      <c r="Q4" s="455" t="str">
        <f>MID(Kalend!$A13,4,5)</f>
        <v>03.06</v>
      </c>
      <c r="R4" s="455" t="str">
        <f>MID(Kalend!$A14,4,5)</f>
        <v>06.06</v>
      </c>
      <c r="S4" s="995" t="s">
        <v>82</v>
      </c>
      <c r="T4" s="996" t="s">
        <v>83</v>
      </c>
      <c r="U4" s="997" t="s">
        <v>84</v>
      </c>
      <c r="V4" s="171"/>
    </row>
    <row r="5" spans="1:22" x14ac:dyDescent="0.2">
      <c r="A5" s="203"/>
      <c r="B5" s="204"/>
      <c r="C5" s="205"/>
      <c r="D5" s="205"/>
      <c r="E5" s="206" t="s">
        <v>85</v>
      </c>
      <c r="F5" s="191"/>
      <c r="G5" s="192"/>
      <c r="H5" s="192"/>
      <c r="I5" s="207" t="s">
        <v>86</v>
      </c>
      <c r="J5" s="208"/>
      <c r="K5" s="208"/>
      <c r="L5" s="208"/>
      <c r="M5" s="208"/>
      <c r="N5" s="208"/>
      <c r="O5" s="208"/>
      <c r="P5" s="456" t="s">
        <v>87</v>
      </c>
      <c r="Q5" s="456" t="s">
        <v>88</v>
      </c>
      <c r="R5" s="456" t="s">
        <v>89</v>
      </c>
      <c r="S5" s="995"/>
      <c r="T5" s="996"/>
      <c r="U5" s="997"/>
      <c r="V5" s="171"/>
    </row>
    <row r="6" spans="1:22" x14ac:dyDescent="0.2">
      <c r="A6" s="210" t="s">
        <v>90</v>
      </c>
      <c r="B6" s="211" t="s">
        <v>90</v>
      </c>
      <c r="C6" s="212" t="s">
        <v>91</v>
      </c>
      <c r="D6" s="213" t="s">
        <v>91</v>
      </c>
      <c r="E6" s="214" t="s">
        <v>92</v>
      </c>
      <c r="F6" s="215" t="s">
        <v>93</v>
      </c>
      <c r="G6" s="211" t="s">
        <v>90</v>
      </c>
      <c r="H6" s="216" t="s">
        <v>91</v>
      </c>
      <c r="I6" s="217" t="s">
        <v>94</v>
      </c>
      <c r="J6" s="218" t="s">
        <v>95</v>
      </c>
      <c r="K6" s="219" t="s">
        <v>96</v>
      </c>
      <c r="L6" s="220" t="s">
        <v>97</v>
      </c>
      <c r="M6" s="220" t="s">
        <v>98</v>
      </c>
      <c r="N6" s="219" t="s">
        <v>99</v>
      </c>
      <c r="O6" s="220" t="s">
        <v>100</v>
      </c>
      <c r="P6" s="457" t="str">
        <f>HYPERLINK("#1!A5"," 1 ")</f>
        <v xml:space="preserve"> 1 </v>
      </c>
      <c r="Q6" s="457" t="str">
        <f>HYPERLINK("#5!A5"," 5 ")</f>
        <v xml:space="preserve"> 5 </v>
      </c>
      <c r="R6" s="457" t="str">
        <f>HYPERLINK("#6!A5"," 6 ")</f>
        <v xml:space="preserve"> 6 </v>
      </c>
      <c r="S6" s="965"/>
      <c r="T6" s="966"/>
      <c r="U6" s="967"/>
      <c r="V6" s="171"/>
    </row>
    <row r="7" spans="1:22" x14ac:dyDescent="0.2">
      <c r="A7" s="225" t="str">
        <f t="shared" ref="A7:A29" si="0">IFERROR(RANK(B7,B$7:B$29,1),"")</f>
        <v/>
      </c>
      <c r="B7" s="226" t="str">
        <f t="shared" ref="B7:B29" si="1">IF(G7="n",L7,"")</f>
        <v/>
      </c>
      <c r="C7" s="227" t="str">
        <f t="shared" ref="C7:C29" si="2">IFERROR(RANK(D7,D$7:D$29,1),"")</f>
        <v/>
      </c>
      <c r="D7" s="228" t="str">
        <f t="shared" ref="D7:D29" si="3">IF(H7="j",L7,"")</f>
        <v/>
      </c>
      <c r="E7" s="229">
        <f t="shared" ref="E7:E29" si="4">RANK(L7,L$7:L$29,1)</f>
        <v>1</v>
      </c>
      <c r="F7" s="245" t="s">
        <v>12</v>
      </c>
      <c r="G7" s="230"/>
      <c r="H7" s="231"/>
      <c r="I7" s="232">
        <f t="shared" ref="I7:I29" si="5">SUM(P7:R7)</f>
        <v>108</v>
      </c>
      <c r="J7" s="233" t="str">
        <f>INDEX(ETAPP!B$1:B$32,MATCH(COUNTIF(P7:R7,PIV!A$1),ETAPP!A$1:A$32,0))&amp;INDEX(ETAPP!B$1:B$32,MATCH(COUNTIF(P7:R7,PIV!A$2),ETAPP!A$1:A$32,0))&amp;INDEX(ETAPP!B$1:B$32,MATCH(COUNTIF(P7:R7,PIV!A$3),ETAPP!A$1:A$32,0))&amp;INDEX(ETAPP!B$1:B$32,MATCH(COUNTIF(P7:R7,PIV!A$4),ETAPP!A$1:A$32,0))&amp;INDEX(ETAPP!B$1:B$32,MATCH(COUNTIF(P7:R7,PIV!A$5),ETAPP!A$1:A$32,0))&amp;INDEX(ETAPP!B$1:B$32,MATCH(COUNTIF(P7:R7,PIV!A$6),ETAPP!A$1:A$32,0))&amp;INDEX(ETAPP!B$1:B$32,MATCH(COUNTIF(P7:R7,PIV!A$7),ETAPP!A$1:A$32,0))&amp;INDEX(ETAPP!B$1:B$32,MATCH(COUNTIF(P7:R7,PIV!A$8),ETAPP!A$1:A$32,0))&amp;INDEX(ETAPP!B$1:B$32,MATCH(COUNTIF(P7:R7,PIV!A$9),ETAPP!A$1:A$32,0))&amp;INDEX(ETAPP!B$1:B$32,MATCH(COUNTIF(P7:R7,PIV!A$10),ETAPP!A$1:A$32,0))&amp;INDEX(ETAPP!B$1:B$32,MATCH(COUNTIF(P7:R7,PIV!A$11),ETAPP!A$1:A$32,0))&amp;INDEX(ETAPP!B$1:B$32,MATCH(COUNTIF(P7:R7,PIV!A$12),ETAPP!A$1:A$32,0))&amp;INDEX(ETAPP!B$1:B$32,MATCH(COUNTIF(P7:R7,PIV!A$13),ETAPP!A$1:A$32,0))&amp;INDEX(ETAPP!B$1:B$32,MATCH(COUNTIF(P7:R7,PIV!A$14),ETAPP!A$1:A$32,0))&amp;INDEX(ETAPP!B$1:B$32,MATCH(COUNTIF(P7:R7,PIV!A$15),ETAPP!A$1:A$32,0))&amp;INDEX(ETAPP!B$1:B$32,MATCH(COUNTIF(P7:R7,PIV!A$16),ETAPP!A$1:A$32,0))&amp;INDEX(ETAPP!B$1:B$32,MATCH(COUNTIF(P7:R7,PIV!A$17),ETAPP!A$1:A$32,0))&amp;INDEX(ETAPP!B$1:B$32,MATCH(COUNTIF(P7:R7,PIV!A$18),ETAPP!A$1:A$32,0))&amp;INDEX(ETAPP!B$1:B$32,MATCH(COUNTIF(P7:R7,PIV!A$19),ETAPP!A$1:A$32,0))</f>
        <v>AB00000000000000000</v>
      </c>
      <c r="K7" s="233" t="str">
        <f t="shared" ref="K7:K29" si="6">TEXT(I7,"000,0")&amp;"-"&amp;J7</f>
        <v>108,0-AB00000000000000000</v>
      </c>
      <c r="L7" s="234">
        <f t="shared" ref="L7:L29" si="7">COUNTIF(K$7:K$29,"&gt;="&amp;K7)</f>
        <v>1</v>
      </c>
      <c r="M7" s="234">
        <f t="shared" ref="M7:M29" si="8">COUNTIF(F$7:F$29,"&gt;="&amp;F7)</f>
        <v>18</v>
      </c>
      <c r="N7" s="233" t="str">
        <f t="shared" ref="N7:N29" si="9">TEXT(I7,"000,0")&amp;"-"&amp;J7&amp;"-"&amp;TEXT(M7,"000")</f>
        <v>108,0-AB00000000000000000-018</v>
      </c>
      <c r="O7" s="235">
        <f t="shared" ref="O7:O29" si="10">COUNTIF(N$7:N$29,"&lt;="&amp;N7)</f>
        <v>23</v>
      </c>
      <c r="P7" s="236">
        <f>IFERROR(INDEX('1'!C$300:C$400,MATCH("*"&amp;F7&amp;"*",'1'!B$300:B$400,0)),"  ")</f>
        <v>34</v>
      </c>
      <c r="Q7" s="237">
        <f>IFERROR(INDEX('5'!C$300:C$400,MATCH("*"&amp;F7&amp;"*",'5'!B$300:B$400,0)),"  ")</f>
        <v>34</v>
      </c>
      <c r="R7" s="237">
        <f>IFERROR(INDEX('6'!C$300:C$400,MATCH("*"&amp;F7&amp;"*",'6'!B$300:B$400,0)),"  ")</f>
        <v>40</v>
      </c>
      <c r="S7" s="238">
        <f t="shared" ref="S7:S29" si="11">COUNTIF(P7:R7,"&gt;=0")</f>
        <v>3</v>
      </c>
      <c r="T7" s="239">
        <f t="shared" ref="T7:T29" si="12">COUNTIF(P7:R7,"&gt;=30")</f>
        <v>3</v>
      </c>
      <c r="U7" s="239">
        <f t="shared" ref="U7:U29" si="13">COUNTIF(P7:R7,"=40")</f>
        <v>1</v>
      </c>
      <c r="V7" s="179"/>
    </row>
    <row r="8" spans="1:22" x14ac:dyDescent="0.2">
      <c r="A8" s="225" t="str">
        <f t="shared" si="0"/>
        <v/>
      </c>
      <c r="B8" s="226" t="str">
        <f t="shared" si="1"/>
        <v/>
      </c>
      <c r="C8" s="227" t="str">
        <f t="shared" si="2"/>
        <v/>
      </c>
      <c r="D8" s="228" t="str">
        <f t="shared" si="3"/>
        <v/>
      </c>
      <c r="E8" s="229">
        <f t="shared" si="4"/>
        <v>2</v>
      </c>
      <c r="F8" s="191" t="s">
        <v>107</v>
      </c>
      <c r="G8" s="230"/>
      <c r="H8" s="231"/>
      <c r="I8" s="232">
        <f t="shared" si="5"/>
        <v>90</v>
      </c>
      <c r="J8" s="233" t="str">
        <f>INDEX(ETAPP!B$1:B$32,MATCH(COUNTIF(P8:R8,PIV!A$1),ETAPP!A$1:A$32,0))&amp;INDEX(ETAPP!B$1:B$32,MATCH(COUNTIF(P8:R8,PIV!A$2),ETAPP!A$1:A$32,0))&amp;INDEX(ETAPP!B$1:B$32,MATCH(COUNTIF(P8:R8,PIV!A$3),ETAPP!A$1:A$32,0))&amp;INDEX(ETAPP!B$1:B$32,MATCH(COUNTIF(P8:R8,PIV!A$4),ETAPP!A$1:A$32,0))&amp;INDEX(ETAPP!B$1:B$32,MATCH(COUNTIF(P8:R8,PIV!A$5),ETAPP!A$1:A$32,0))&amp;INDEX(ETAPP!B$1:B$32,MATCH(COUNTIF(P8:R8,PIV!A$6),ETAPP!A$1:A$32,0))&amp;INDEX(ETAPP!B$1:B$32,MATCH(COUNTIF(P8:R8,PIV!A$7),ETAPP!A$1:A$32,0))&amp;INDEX(ETAPP!B$1:B$32,MATCH(COUNTIF(P8:R8,PIV!A$8),ETAPP!A$1:A$32,0))&amp;INDEX(ETAPP!B$1:B$32,MATCH(COUNTIF(P8:R8,PIV!A$9),ETAPP!A$1:A$32,0))&amp;INDEX(ETAPP!B$1:B$32,MATCH(COUNTIF(P8:R8,PIV!A$10),ETAPP!A$1:A$32,0))&amp;INDEX(ETAPP!B$1:B$32,MATCH(COUNTIF(P8:R8,PIV!A$11),ETAPP!A$1:A$32,0))&amp;INDEX(ETAPP!B$1:B$32,MATCH(COUNTIF(P8:R8,PIV!A$12),ETAPP!A$1:A$32,0))&amp;INDEX(ETAPP!B$1:B$32,MATCH(COUNTIF(P8:R8,PIV!A$13),ETAPP!A$1:A$32,0))&amp;INDEX(ETAPP!B$1:B$32,MATCH(COUNTIF(P8:R8,PIV!A$14),ETAPP!A$1:A$32,0))&amp;INDEX(ETAPP!B$1:B$32,MATCH(COUNTIF(P8:R8,PIV!A$15),ETAPP!A$1:A$32,0))&amp;INDEX(ETAPP!B$1:B$32,MATCH(COUNTIF(P8:R8,PIV!A$16),ETAPP!A$1:A$32,0))&amp;INDEX(ETAPP!B$1:B$32,MATCH(COUNTIF(P8:R8,PIV!A$17),ETAPP!A$1:A$32,0))&amp;INDEX(ETAPP!B$1:B$32,MATCH(COUNTIF(P8:R8,PIV!A$18),ETAPP!A$1:A$32,0))&amp;INDEX(ETAPP!B$1:B$32,MATCH(COUNTIF(P8:R8,PIV!A$19),ETAPP!A$1:A$32,0))</f>
        <v>A0A000A000000000000</v>
      </c>
      <c r="K8" s="233" t="str">
        <f t="shared" si="6"/>
        <v>090,0-A0A000A000000000000</v>
      </c>
      <c r="L8" s="234">
        <f t="shared" si="7"/>
        <v>2</v>
      </c>
      <c r="M8" s="234">
        <f t="shared" si="8"/>
        <v>9</v>
      </c>
      <c r="N8" s="233" t="str">
        <f t="shared" si="9"/>
        <v>090,0-A0A000A000000000000-009</v>
      </c>
      <c r="O8" s="235">
        <f t="shared" si="10"/>
        <v>22</v>
      </c>
      <c r="P8" s="236">
        <f>IFERROR(INDEX('1'!C$300:C$400,MATCH("*"&amp;F8&amp;"*",'1'!B$300:B$400,0)),"  ")</f>
        <v>40</v>
      </c>
      <c r="Q8" s="237">
        <f>IFERROR(INDEX('5'!C$300:C$400,MATCH("*"&amp;F8&amp;"*",'5'!B$300:B$400,0)),"  ")</f>
        <v>20</v>
      </c>
      <c r="R8" s="237">
        <f>IFERROR(INDEX('6'!C$300:C$400,MATCH("*"&amp;F8&amp;"*",'6'!B$300:B$400,0)),"  ")</f>
        <v>30</v>
      </c>
      <c r="S8" s="239">
        <f t="shared" si="11"/>
        <v>3</v>
      </c>
      <c r="T8" s="239">
        <f t="shared" si="12"/>
        <v>2</v>
      </c>
      <c r="U8" s="239">
        <f t="shared" si="13"/>
        <v>1</v>
      </c>
      <c r="V8" s="171"/>
    </row>
    <row r="9" spans="1:22" x14ac:dyDescent="0.2">
      <c r="A9" s="225" t="str">
        <f t="shared" si="0"/>
        <v/>
      </c>
      <c r="B9" s="226" t="str">
        <f t="shared" si="1"/>
        <v/>
      </c>
      <c r="C9" s="227" t="str">
        <f t="shared" si="2"/>
        <v/>
      </c>
      <c r="D9" s="228" t="str">
        <f t="shared" si="3"/>
        <v/>
      </c>
      <c r="E9" s="229">
        <f t="shared" si="4"/>
        <v>3</v>
      </c>
      <c r="F9" s="191" t="s">
        <v>106</v>
      </c>
      <c r="G9" s="230"/>
      <c r="H9" s="231"/>
      <c r="I9" s="232">
        <f t="shared" si="5"/>
        <v>80</v>
      </c>
      <c r="J9" s="233" t="str">
        <f>INDEX(ETAPP!B$1:B$32,MATCH(COUNTIF(P9:R9,PIV!A$1),ETAPP!A$1:A$32,0))&amp;INDEX(ETAPP!B$1:B$32,MATCH(COUNTIF(P9:R9,PIV!A$2),ETAPP!A$1:A$32,0))&amp;INDEX(ETAPP!B$1:B$32,MATCH(COUNTIF(P9:R9,PIV!A$3),ETAPP!A$1:A$32,0))&amp;INDEX(ETAPP!B$1:B$32,MATCH(COUNTIF(P9:R9,PIV!A$4),ETAPP!A$1:A$32,0))&amp;INDEX(ETAPP!B$1:B$32,MATCH(COUNTIF(P9:R9,PIV!A$5),ETAPP!A$1:A$32,0))&amp;INDEX(ETAPP!B$1:B$32,MATCH(COUNTIF(P9:R9,PIV!A$6),ETAPP!A$1:A$32,0))&amp;INDEX(ETAPP!B$1:B$32,MATCH(COUNTIF(P9:R9,PIV!A$7),ETAPP!A$1:A$32,0))&amp;INDEX(ETAPP!B$1:B$32,MATCH(COUNTIF(P9:R9,PIV!A$8),ETAPP!A$1:A$32,0))&amp;INDEX(ETAPP!B$1:B$32,MATCH(COUNTIF(P9:R9,PIV!A$9),ETAPP!A$1:A$32,0))&amp;INDEX(ETAPP!B$1:B$32,MATCH(COUNTIF(P9:R9,PIV!A$10),ETAPP!A$1:A$32,0))&amp;INDEX(ETAPP!B$1:B$32,MATCH(COUNTIF(P9:R9,PIV!A$11),ETAPP!A$1:A$32,0))&amp;INDEX(ETAPP!B$1:B$32,MATCH(COUNTIF(P9:R9,PIV!A$12),ETAPP!A$1:A$32,0))&amp;INDEX(ETAPP!B$1:B$32,MATCH(COUNTIF(P9:R9,PIV!A$13),ETAPP!A$1:A$32,0))&amp;INDEX(ETAPP!B$1:B$32,MATCH(COUNTIF(P9:R9,PIV!A$14),ETAPP!A$1:A$32,0))&amp;INDEX(ETAPP!B$1:B$32,MATCH(COUNTIF(P9:R9,PIV!A$15),ETAPP!A$1:A$32,0))&amp;INDEX(ETAPP!B$1:B$32,MATCH(COUNTIF(P9:R9,PIV!A$16),ETAPP!A$1:A$32,0))&amp;INDEX(ETAPP!B$1:B$32,MATCH(COUNTIF(P9:R9,PIV!A$17),ETAPP!A$1:A$32,0))&amp;INDEX(ETAPP!B$1:B$32,MATCH(COUNTIF(P9:R9,PIV!A$18),ETAPP!A$1:A$32,0))&amp;INDEX(ETAPP!B$1:B$32,MATCH(COUNTIF(P9:R9,PIV!A$19),ETAPP!A$1:A$32,0))</f>
        <v>A000A000A0000000000</v>
      </c>
      <c r="K9" s="233" t="str">
        <f t="shared" si="6"/>
        <v>080,0-A000A000A0000000000</v>
      </c>
      <c r="L9" s="234">
        <f t="shared" si="7"/>
        <v>3</v>
      </c>
      <c r="M9" s="234">
        <f t="shared" si="8"/>
        <v>16</v>
      </c>
      <c r="N9" s="233" t="str">
        <f t="shared" si="9"/>
        <v>080,0-A000A000A0000000000-016</v>
      </c>
      <c r="O9" s="235">
        <f t="shared" si="10"/>
        <v>21</v>
      </c>
      <c r="P9" s="236">
        <f>IFERROR(INDEX('1'!C$300:C$400,MATCH("*"&amp;F9&amp;"*",'1'!B$300:B$400,0)),"  ")</f>
        <v>40</v>
      </c>
      <c r="Q9" s="237">
        <f>IFERROR(INDEX('5'!C$300:C$400,MATCH("*"&amp;F9&amp;"*",'5'!B$300:B$400,0)),"  ")</f>
        <v>24</v>
      </c>
      <c r="R9" s="237">
        <f>IFERROR(INDEX('6'!C$300:C$400,MATCH("*"&amp;F9&amp;"*",'6'!B$300:B$400,0)),"  ")</f>
        <v>16</v>
      </c>
      <c r="S9" s="239">
        <f t="shared" si="11"/>
        <v>3</v>
      </c>
      <c r="T9" s="239">
        <f t="shared" si="12"/>
        <v>1</v>
      </c>
      <c r="U9" s="239">
        <f t="shared" si="13"/>
        <v>1</v>
      </c>
      <c r="V9" s="171"/>
    </row>
    <row r="10" spans="1:22" x14ac:dyDescent="0.2">
      <c r="A10" s="225" t="str">
        <f t="shared" si="0"/>
        <v/>
      </c>
      <c r="B10" s="226" t="str">
        <f t="shared" si="1"/>
        <v/>
      </c>
      <c r="C10" s="227" t="str">
        <f t="shared" si="2"/>
        <v/>
      </c>
      <c r="D10" s="228" t="str">
        <f t="shared" si="3"/>
        <v/>
      </c>
      <c r="E10" s="229">
        <f t="shared" si="4"/>
        <v>4</v>
      </c>
      <c r="F10" s="245" t="s">
        <v>115</v>
      </c>
      <c r="G10" s="230"/>
      <c r="H10" s="231"/>
      <c r="I10" s="232">
        <f t="shared" si="5"/>
        <v>74</v>
      </c>
      <c r="J10" s="233" t="str">
        <f>INDEX(ETAPP!B$1:B$32,MATCH(COUNTIF(P10:R10,PIV!A$1),ETAPP!A$1:A$32,0))&amp;INDEX(ETAPP!B$1:B$32,MATCH(COUNTIF(P10:R10,PIV!A$2),ETAPP!A$1:A$32,0))&amp;INDEX(ETAPP!B$1:B$32,MATCH(COUNTIF(P10:R10,PIV!A$3),ETAPP!A$1:A$32,0))&amp;INDEX(ETAPP!B$1:B$32,MATCH(COUNTIF(P10:R10,PIV!A$4),ETAPP!A$1:A$32,0))&amp;INDEX(ETAPP!B$1:B$32,MATCH(COUNTIF(P10:R10,PIV!A$5),ETAPP!A$1:A$32,0))&amp;INDEX(ETAPP!B$1:B$32,MATCH(COUNTIF(P10:R10,PIV!A$6),ETAPP!A$1:A$32,0))&amp;INDEX(ETAPP!B$1:B$32,MATCH(COUNTIF(P10:R10,PIV!A$7),ETAPP!A$1:A$32,0))&amp;INDEX(ETAPP!B$1:B$32,MATCH(COUNTIF(P10:R10,PIV!A$8),ETAPP!A$1:A$32,0))&amp;INDEX(ETAPP!B$1:B$32,MATCH(COUNTIF(P10:R10,PIV!A$9),ETAPP!A$1:A$32,0))&amp;INDEX(ETAPP!B$1:B$32,MATCH(COUNTIF(P10:R10,PIV!A$10),ETAPP!A$1:A$32,0))&amp;INDEX(ETAPP!B$1:B$32,MATCH(COUNTIF(P10:R10,PIV!A$11),ETAPP!A$1:A$32,0))&amp;INDEX(ETAPP!B$1:B$32,MATCH(COUNTIF(P10:R10,PIV!A$12),ETAPP!A$1:A$32,0))&amp;INDEX(ETAPP!B$1:B$32,MATCH(COUNTIF(P10:R10,PIV!A$13),ETAPP!A$1:A$32,0))&amp;INDEX(ETAPP!B$1:B$32,MATCH(COUNTIF(P10:R10,PIV!A$14),ETAPP!A$1:A$32,0))&amp;INDEX(ETAPP!B$1:B$32,MATCH(COUNTIF(P10:R10,PIV!A$15),ETAPP!A$1:A$32,0))&amp;INDEX(ETAPP!B$1:B$32,MATCH(COUNTIF(P10:R10,PIV!A$16),ETAPP!A$1:A$32,0))&amp;INDEX(ETAPP!B$1:B$32,MATCH(COUNTIF(P10:R10,PIV!A$17),ETAPP!A$1:A$32,0))&amp;INDEX(ETAPP!B$1:B$32,MATCH(COUNTIF(P10:R10,PIV!A$18),ETAPP!A$1:A$32,0))&amp;INDEX(ETAPP!B$1:B$32,MATCH(COUNTIF(P10:R10,PIV!A$19),ETAPP!A$1:A$32,0))</f>
        <v>0A000A0A00000000000</v>
      </c>
      <c r="K10" s="233" t="str">
        <f t="shared" si="6"/>
        <v>074,0-0A000A0A00000000000</v>
      </c>
      <c r="L10" s="234">
        <f t="shared" si="7"/>
        <v>4</v>
      </c>
      <c r="M10" s="234">
        <f t="shared" si="8"/>
        <v>23</v>
      </c>
      <c r="N10" s="233" t="str">
        <f t="shared" si="9"/>
        <v>074,0-0A000A0A00000000000-023</v>
      </c>
      <c r="O10" s="235">
        <f t="shared" si="10"/>
        <v>20</v>
      </c>
      <c r="P10" s="236">
        <f>IFERROR(INDEX('1'!C$300:C$400,MATCH("*"&amp;F10&amp;"*",'1'!B$300:B$400,0)),"  ")</f>
        <v>22</v>
      </c>
      <c r="Q10" s="237">
        <f>IFERROR(INDEX('5'!C$300:C$400,MATCH("*"&amp;F10&amp;"*",'5'!B$300:B$400,0)),"  ")</f>
        <v>18</v>
      </c>
      <c r="R10" s="237">
        <f>IFERROR(INDEX('6'!C$300:C$400,MATCH("*"&amp;F10&amp;"*",'6'!B$300:B$400,0)),"  ")</f>
        <v>34</v>
      </c>
      <c r="S10" s="239">
        <f t="shared" si="11"/>
        <v>3</v>
      </c>
      <c r="T10" s="239">
        <f t="shared" si="12"/>
        <v>1</v>
      </c>
      <c r="U10" s="239">
        <f t="shared" si="13"/>
        <v>0</v>
      </c>
      <c r="V10" s="171"/>
    </row>
    <row r="11" spans="1:22" x14ac:dyDescent="0.2">
      <c r="A11" s="225" t="str">
        <f t="shared" si="0"/>
        <v/>
      </c>
      <c r="B11" s="226" t="str">
        <f t="shared" si="1"/>
        <v/>
      </c>
      <c r="C11" s="227" t="str">
        <f t="shared" si="2"/>
        <v/>
      </c>
      <c r="D11" s="228" t="str">
        <f t="shared" si="3"/>
        <v/>
      </c>
      <c r="E11" s="229">
        <f t="shared" si="4"/>
        <v>5</v>
      </c>
      <c r="F11" s="245" t="s">
        <v>116</v>
      </c>
      <c r="G11" s="230"/>
      <c r="H11" s="231"/>
      <c r="I11" s="232">
        <f t="shared" si="5"/>
        <v>68</v>
      </c>
      <c r="J11" s="233" t="str">
        <f>INDEX(ETAPP!B$1:B$32,MATCH(COUNTIF(P11:R11,PIV!A$1),ETAPP!A$1:A$32,0))&amp;INDEX(ETAPP!B$1:B$32,MATCH(COUNTIF(P11:R11,PIV!A$2),ETAPP!A$1:A$32,0))&amp;INDEX(ETAPP!B$1:B$32,MATCH(COUNTIF(P11:R11,PIV!A$3),ETAPP!A$1:A$32,0))&amp;INDEX(ETAPP!B$1:B$32,MATCH(COUNTIF(P11:R11,PIV!A$4),ETAPP!A$1:A$32,0))&amp;INDEX(ETAPP!B$1:B$32,MATCH(COUNTIF(P11:R11,PIV!A$5),ETAPP!A$1:A$32,0))&amp;INDEX(ETAPP!B$1:B$32,MATCH(COUNTIF(P11:R11,PIV!A$6),ETAPP!A$1:A$32,0))&amp;INDEX(ETAPP!B$1:B$32,MATCH(COUNTIF(P11:R11,PIV!A$7),ETAPP!A$1:A$32,0))&amp;INDEX(ETAPP!B$1:B$32,MATCH(COUNTIF(P11:R11,PIV!A$8),ETAPP!A$1:A$32,0))&amp;INDEX(ETAPP!B$1:B$32,MATCH(COUNTIF(P11:R11,PIV!A$9),ETAPP!A$1:A$32,0))&amp;INDEX(ETAPP!B$1:B$32,MATCH(COUNTIF(P11:R11,PIV!A$10),ETAPP!A$1:A$32,0))&amp;INDEX(ETAPP!B$1:B$32,MATCH(COUNTIF(P11:R11,PIV!A$11),ETAPP!A$1:A$32,0))&amp;INDEX(ETAPP!B$1:B$32,MATCH(COUNTIF(P11:R11,PIV!A$12),ETAPP!A$1:A$32,0))&amp;INDEX(ETAPP!B$1:B$32,MATCH(COUNTIF(P11:R11,PIV!A$13),ETAPP!A$1:A$32,0))&amp;INDEX(ETAPP!B$1:B$32,MATCH(COUNTIF(P11:R11,PIV!A$14),ETAPP!A$1:A$32,0))&amp;INDEX(ETAPP!B$1:B$32,MATCH(COUNTIF(P11:R11,PIV!A$15),ETAPP!A$1:A$32,0))&amp;INDEX(ETAPP!B$1:B$32,MATCH(COUNTIF(P11:R11,PIV!A$16),ETAPP!A$1:A$32,0))&amp;INDEX(ETAPP!B$1:B$32,MATCH(COUNTIF(P11:R11,PIV!A$17),ETAPP!A$1:A$32,0))&amp;INDEX(ETAPP!B$1:B$32,MATCH(COUNTIF(P11:R11,PIV!A$18),ETAPP!A$1:A$32,0))&amp;INDEX(ETAPP!B$1:B$32,MATCH(COUNTIF(P11:R11,PIV!A$19),ETAPP!A$1:A$32,0))</f>
        <v>0A0A00000000A000000</v>
      </c>
      <c r="K11" s="233" t="str">
        <f t="shared" si="6"/>
        <v>068,0-0A0A00000000A000000</v>
      </c>
      <c r="L11" s="234">
        <f t="shared" si="7"/>
        <v>5</v>
      </c>
      <c r="M11" s="234">
        <f t="shared" si="8"/>
        <v>20</v>
      </c>
      <c r="N11" s="233" t="str">
        <f t="shared" si="9"/>
        <v>068,0-0A0A00000000A000000-020</v>
      </c>
      <c r="O11" s="235">
        <f t="shared" si="10"/>
        <v>19</v>
      </c>
      <c r="P11" s="236">
        <f>IFERROR(INDEX('1'!C$300:C$400,MATCH("*"&amp;F11&amp;"*",'1'!B$300:B$400,0)),"  ")</f>
        <v>34</v>
      </c>
      <c r="Q11" s="237">
        <f>IFERROR(INDEX('5'!C$300:C$400,MATCH("*"&amp;F11&amp;"*",'5'!B$300:B$400,0)),"  ")</f>
        <v>26</v>
      </c>
      <c r="R11" s="237">
        <f>IFERROR(INDEX('6'!C$300:C$400,MATCH("*"&amp;F11&amp;"*",'6'!B$300:B$400,0)),"  ")</f>
        <v>8</v>
      </c>
      <c r="S11" s="239">
        <f t="shared" si="11"/>
        <v>3</v>
      </c>
      <c r="T11" s="239">
        <f t="shared" si="12"/>
        <v>1</v>
      </c>
      <c r="U11" s="239">
        <f t="shared" si="13"/>
        <v>0</v>
      </c>
      <c r="V11" s="171"/>
    </row>
    <row r="12" spans="1:22" x14ac:dyDescent="0.2">
      <c r="A12" s="225" t="str">
        <f t="shared" si="0"/>
        <v/>
      </c>
      <c r="B12" s="226" t="str">
        <f t="shared" si="1"/>
        <v/>
      </c>
      <c r="C12" s="227" t="str">
        <f t="shared" si="2"/>
        <v/>
      </c>
      <c r="D12" s="228" t="str">
        <f t="shared" si="3"/>
        <v/>
      </c>
      <c r="E12" s="229">
        <f t="shared" si="4"/>
        <v>6</v>
      </c>
      <c r="F12" s="191" t="s">
        <v>105</v>
      </c>
      <c r="G12" s="218"/>
      <c r="H12" s="241"/>
      <c r="I12" s="232">
        <f t="shared" si="5"/>
        <v>66</v>
      </c>
      <c r="J12" s="233" t="str">
        <f>INDEX(ETAPP!B$1:B$32,MATCH(COUNTIF(P12:R12,PIV!A$1),ETAPP!A$1:A$32,0))&amp;INDEX(ETAPP!B$1:B$32,MATCH(COUNTIF(P12:R12,PIV!A$2),ETAPP!A$1:A$32,0))&amp;INDEX(ETAPP!B$1:B$32,MATCH(COUNTIF(P12:R12,PIV!A$3),ETAPP!A$1:A$32,0))&amp;INDEX(ETAPP!B$1:B$32,MATCH(COUNTIF(P12:R12,PIV!A$4),ETAPP!A$1:A$32,0))&amp;INDEX(ETAPP!B$1:B$32,MATCH(COUNTIF(P12:R12,PIV!A$5),ETAPP!A$1:A$32,0))&amp;INDEX(ETAPP!B$1:B$32,MATCH(COUNTIF(P12:R12,PIV!A$6),ETAPP!A$1:A$32,0))&amp;INDEX(ETAPP!B$1:B$32,MATCH(COUNTIF(P12:R12,PIV!A$7),ETAPP!A$1:A$32,0))&amp;INDEX(ETAPP!B$1:B$32,MATCH(COUNTIF(P12:R12,PIV!A$8),ETAPP!A$1:A$32,0))&amp;INDEX(ETAPP!B$1:B$32,MATCH(COUNTIF(P12:R12,PIV!A$9),ETAPP!A$1:A$32,0))&amp;INDEX(ETAPP!B$1:B$32,MATCH(COUNTIF(P12:R12,PIV!A$10),ETAPP!A$1:A$32,0))&amp;INDEX(ETAPP!B$1:B$32,MATCH(COUNTIF(P12:R12,PIV!A$11),ETAPP!A$1:A$32,0))&amp;INDEX(ETAPP!B$1:B$32,MATCH(COUNTIF(P12:R12,PIV!A$12),ETAPP!A$1:A$32,0))&amp;INDEX(ETAPP!B$1:B$32,MATCH(COUNTIF(P12:R12,PIV!A$13),ETAPP!A$1:A$32,0))&amp;INDEX(ETAPP!B$1:B$32,MATCH(COUNTIF(P12:R12,PIV!A$14),ETAPP!A$1:A$32,0))&amp;INDEX(ETAPP!B$1:B$32,MATCH(COUNTIF(P12:R12,PIV!A$15),ETAPP!A$1:A$32,0))&amp;INDEX(ETAPP!B$1:B$32,MATCH(COUNTIF(P12:R12,PIV!A$16),ETAPP!A$1:A$32,0))&amp;INDEX(ETAPP!B$1:B$32,MATCH(COUNTIF(P12:R12,PIV!A$17),ETAPP!A$1:A$32,0))&amp;INDEX(ETAPP!B$1:B$32,MATCH(COUNTIF(P12:R12,PIV!A$18),ETAPP!A$1:A$32,0))&amp;INDEX(ETAPP!B$1:B$32,MATCH(COUNTIF(P12:R12,PIV!A$19),ETAPP!A$1:A$32,0))</f>
        <v>A000A0000000000A000</v>
      </c>
      <c r="K12" s="233" t="str">
        <f t="shared" si="6"/>
        <v>066,0-A000A0000000000A000</v>
      </c>
      <c r="L12" s="234">
        <f t="shared" si="7"/>
        <v>6</v>
      </c>
      <c r="M12" s="234">
        <f t="shared" si="8"/>
        <v>7</v>
      </c>
      <c r="N12" s="233" t="str">
        <f t="shared" si="9"/>
        <v>066,0-A000A0000000000A000-007</v>
      </c>
      <c r="O12" s="235">
        <f t="shared" si="10"/>
        <v>18</v>
      </c>
      <c r="P12" s="236">
        <f>IFERROR(INDEX('1'!C$300:C$400,MATCH("*"&amp;F12&amp;"*",'1'!B$300:B$400,0)),"  ")</f>
        <v>40</v>
      </c>
      <c r="Q12" s="237">
        <f>IFERROR(INDEX('5'!C$300:C$400,MATCH("*"&amp;F12&amp;"*",'5'!B$300:B$400,0)),"  ")</f>
        <v>24</v>
      </c>
      <c r="R12" s="237">
        <f>IFERROR(INDEX('6'!C$300:C$400,MATCH("*"&amp;F12&amp;"*",'6'!B$300:B$400,0)),"  ")</f>
        <v>2</v>
      </c>
      <c r="S12" s="239">
        <f t="shared" si="11"/>
        <v>3</v>
      </c>
      <c r="T12" s="239">
        <f t="shared" si="12"/>
        <v>1</v>
      </c>
      <c r="U12" s="239">
        <f t="shared" si="13"/>
        <v>1</v>
      </c>
      <c r="V12" s="171"/>
    </row>
    <row r="13" spans="1:22" x14ac:dyDescent="0.2">
      <c r="A13" s="225" t="str">
        <f t="shared" si="0"/>
        <v/>
      </c>
      <c r="B13" s="226" t="str">
        <f t="shared" si="1"/>
        <v/>
      </c>
      <c r="C13" s="227" t="str">
        <f t="shared" si="2"/>
        <v/>
      </c>
      <c r="D13" s="228" t="str">
        <f t="shared" si="3"/>
        <v/>
      </c>
      <c r="E13" s="229">
        <f t="shared" si="4"/>
        <v>7</v>
      </c>
      <c r="F13" s="244" t="s">
        <v>110</v>
      </c>
      <c r="G13" s="230"/>
      <c r="H13" s="231"/>
      <c r="I13" s="232">
        <f t="shared" si="5"/>
        <v>64</v>
      </c>
      <c r="J13" s="233" t="str">
        <f>INDEX(ETAPP!B$1:B$32,MATCH(COUNTIF(P13:R13,PIV!A$1),ETAPP!A$1:A$32,0))&amp;INDEX(ETAPP!B$1:B$32,MATCH(COUNTIF(P13:R13,PIV!A$2),ETAPP!A$1:A$32,0))&amp;INDEX(ETAPP!B$1:B$32,MATCH(COUNTIF(P13:R13,PIV!A$3),ETAPP!A$1:A$32,0))&amp;INDEX(ETAPP!B$1:B$32,MATCH(COUNTIF(P13:R13,PIV!A$4),ETAPP!A$1:A$32,0))&amp;INDEX(ETAPP!B$1:B$32,MATCH(COUNTIF(P13:R13,PIV!A$5),ETAPP!A$1:A$32,0))&amp;INDEX(ETAPP!B$1:B$32,MATCH(COUNTIF(P13:R13,PIV!A$6),ETAPP!A$1:A$32,0))&amp;INDEX(ETAPP!B$1:B$32,MATCH(COUNTIF(P13:R13,PIV!A$7),ETAPP!A$1:A$32,0))&amp;INDEX(ETAPP!B$1:B$32,MATCH(COUNTIF(P13:R13,PIV!A$8),ETAPP!A$1:A$32,0))&amp;INDEX(ETAPP!B$1:B$32,MATCH(COUNTIF(P13:R13,PIV!A$9),ETAPP!A$1:A$32,0))&amp;INDEX(ETAPP!B$1:B$32,MATCH(COUNTIF(P13:R13,PIV!A$10),ETAPP!A$1:A$32,0))&amp;INDEX(ETAPP!B$1:B$32,MATCH(COUNTIF(P13:R13,PIV!A$11),ETAPP!A$1:A$32,0))&amp;INDEX(ETAPP!B$1:B$32,MATCH(COUNTIF(P13:R13,PIV!A$12),ETAPP!A$1:A$32,0))&amp;INDEX(ETAPP!B$1:B$32,MATCH(COUNTIF(P13:R13,PIV!A$13),ETAPP!A$1:A$32,0))&amp;INDEX(ETAPP!B$1:B$32,MATCH(COUNTIF(P13:R13,PIV!A$14),ETAPP!A$1:A$32,0))&amp;INDEX(ETAPP!B$1:B$32,MATCH(COUNTIF(P13:R13,PIV!A$15),ETAPP!A$1:A$32,0))&amp;INDEX(ETAPP!B$1:B$32,MATCH(COUNTIF(P13:R13,PIV!A$16),ETAPP!A$1:A$32,0))&amp;INDEX(ETAPP!B$1:B$32,MATCH(COUNTIF(P13:R13,PIV!A$17),ETAPP!A$1:A$32,0))&amp;INDEX(ETAPP!B$1:B$32,MATCH(COUNTIF(P13:R13,PIV!A$18),ETAPP!A$1:A$32,0))&amp;INDEX(ETAPP!B$1:B$32,MATCH(COUNTIF(P13:R13,PIV!A$19),ETAPP!A$1:A$32,0))</f>
        <v>A000A0000000000000A</v>
      </c>
      <c r="K13" s="233" t="str">
        <f t="shared" si="6"/>
        <v>064,0-A000A0000000000000A</v>
      </c>
      <c r="L13" s="234">
        <f t="shared" si="7"/>
        <v>7</v>
      </c>
      <c r="M13" s="234">
        <f t="shared" si="8"/>
        <v>13</v>
      </c>
      <c r="N13" s="233" t="str">
        <f t="shared" si="9"/>
        <v>064,0-A000A0000000000000A-013</v>
      </c>
      <c r="O13" s="235">
        <f t="shared" si="10"/>
        <v>17</v>
      </c>
      <c r="P13" s="236">
        <f>IFERROR(INDEX('1'!C$300:C$400,MATCH("*"&amp;F13&amp;"*",'1'!B$300:B$400,0)),"  ")</f>
        <v>24</v>
      </c>
      <c r="Q13" s="237">
        <f>IFERROR(INDEX('5'!C$300:C$400,MATCH("*"&amp;F13&amp;"*",'5'!B$300:B$400,0)),"  ")</f>
        <v>40</v>
      </c>
      <c r="R13" s="237" t="str">
        <f>IFERROR(INDEX('6'!C$300:C$400,MATCH("*"&amp;F13&amp;"*",'6'!B$300:B$400,0)),"  ")</f>
        <v xml:space="preserve">  </v>
      </c>
      <c r="S13" s="239">
        <f t="shared" si="11"/>
        <v>2</v>
      </c>
      <c r="T13" s="239">
        <f t="shared" si="12"/>
        <v>1</v>
      </c>
      <c r="U13" s="239">
        <f t="shared" si="13"/>
        <v>1</v>
      </c>
      <c r="V13" s="171"/>
    </row>
    <row r="14" spans="1:22" x14ac:dyDescent="0.2">
      <c r="A14" s="225" t="str">
        <f t="shared" si="0"/>
        <v/>
      </c>
      <c r="B14" s="226" t="str">
        <f t="shared" si="1"/>
        <v/>
      </c>
      <c r="C14" s="227" t="str">
        <f t="shared" si="2"/>
        <v/>
      </c>
      <c r="D14" s="228" t="str">
        <f t="shared" si="3"/>
        <v/>
      </c>
      <c r="E14" s="229">
        <f t="shared" si="4"/>
        <v>8</v>
      </c>
      <c r="F14" s="191" t="s">
        <v>122</v>
      </c>
      <c r="G14" s="230"/>
      <c r="H14" s="231"/>
      <c r="I14" s="232">
        <f t="shared" si="5"/>
        <v>54</v>
      </c>
      <c r="J14" s="233" t="str">
        <f>INDEX(ETAPP!B$1:B$32,MATCH(COUNTIF(P14:R14,PIV!A$1),ETAPP!A$1:A$32,0))&amp;INDEX(ETAPP!B$1:B$32,MATCH(COUNTIF(P14:R14,PIV!A$2),ETAPP!A$1:A$32,0))&amp;INDEX(ETAPP!B$1:B$32,MATCH(COUNTIF(P14:R14,PIV!A$3),ETAPP!A$1:A$32,0))&amp;INDEX(ETAPP!B$1:B$32,MATCH(COUNTIF(P14:R14,PIV!A$4),ETAPP!A$1:A$32,0))&amp;INDEX(ETAPP!B$1:B$32,MATCH(COUNTIF(P14:R14,PIV!A$5),ETAPP!A$1:A$32,0))&amp;INDEX(ETAPP!B$1:B$32,MATCH(COUNTIF(P14:R14,PIV!A$6),ETAPP!A$1:A$32,0))&amp;INDEX(ETAPP!B$1:B$32,MATCH(COUNTIF(P14:R14,PIV!A$7),ETAPP!A$1:A$32,0))&amp;INDEX(ETAPP!B$1:B$32,MATCH(COUNTIF(P14:R14,PIV!A$8),ETAPP!A$1:A$32,0))&amp;INDEX(ETAPP!B$1:B$32,MATCH(COUNTIF(P14:R14,PIV!A$9),ETAPP!A$1:A$32,0))&amp;INDEX(ETAPP!B$1:B$32,MATCH(COUNTIF(P14:R14,PIV!A$10),ETAPP!A$1:A$32,0))&amp;INDEX(ETAPP!B$1:B$32,MATCH(COUNTIF(P14:R14,PIV!A$11),ETAPP!A$1:A$32,0))&amp;INDEX(ETAPP!B$1:B$32,MATCH(COUNTIF(P14:R14,PIV!A$12),ETAPP!A$1:A$32,0))&amp;INDEX(ETAPP!B$1:B$32,MATCH(COUNTIF(P14:R14,PIV!A$13),ETAPP!A$1:A$32,0))&amp;INDEX(ETAPP!B$1:B$32,MATCH(COUNTIF(P14:R14,PIV!A$14),ETAPP!A$1:A$32,0))&amp;INDEX(ETAPP!B$1:B$32,MATCH(COUNTIF(P14:R14,PIV!A$15),ETAPP!A$1:A$32,0))&amp;INDEX(ETAPP!B$1:B$32,MATCH(COUNTIF(P14:R14,PIV!A$16),ETAPP!A$1:A$32,0))&amp;INDEX(ETAPP!B$1:B$32,MATCH(COUNTIF(P14:R14,PIV!A$17),ETAPP!A$1:A$32,0))&amp;INDEX(ETAPP!B$1:B$32,MATCH(COUNTIF(P14:R14,PIV!A$18),ETAPP!A$1:A$32,0))&amp;INDEX(ETAPP!B$1:B$32,MATCH(COUNTIF(P14:R14,PIV!A$19),ETAPP!A$1:A$32,0))</f>
        <v>0000A00A00A00000000</v>
      </c>
      <c r="K14" s="233" t="str">
        <f t="shared" si="6"/>
        <v>054,0-0000A00A00A00000000</v>
      </c>
      <c r="L14" s="234">
        <f t="shared" si="7"/>
        <v>8</v>
      </c>
      <c r="M14" s="234">
        <f t="shared" si="8"/>
        <v>1</v>
      </c>
      <c r="N14" s="233" t="str">
        <f t="shared" si="9"/>
        <v>054,0-0000A00A00A00000000-001</v>
      </c>
      <c r="O14" s="235">
        <f t="shared" si="10"/>
        <v>16</v>
      </c>
      <c r="P14" s="236">
        <f>IFERROR(INDEX('1'!C$300:C$400,MATCH("*"&amp;F14&amp;"*",'1'!B$300:B$400,0)),"  ")</f>
        <v>18</v>
      </c>
      <c r="Q14" s="237">
        <f>IFERROR(INDEX('5'!C$300:C$400,MATCH("*"&amp;F14&amp;"*",'5'!B$300:B$400,0)),"  ")</f>
        <v>12</v>
      </c>
      <c r="R14" s="237">
        <f>IFERROR(INDEX('6'!C$300:C$400,MATCH("*"&amp;F14&amp;"*",'6'!B$300:B$400,0)),"  ")</f>
        <v>24</v>
      </c>
      <c r="S14" s="239">
        <f t="shared" si="11"/>
        <v>3</v>
      </c>
      <c r="T14" s="239">
        <f t="shared" si="12"/>
        <v>0</v>
      </c>
      <c r="U14" s="239">
        <f t="shared" si="13"/>
        <v>0</v>
      </c>
      <c r="V14" s="171"/>
    </row>
    <row r="15" spans="1:22" x14ac:dyDescent="0.2">
      <c r="A15" s="225" t="str">
        <f t="shared" si="0"/>
        <v/>
      </c>
      <c r="B15" s="226" t="str">
        <f t="shared" si="1"/>
        <v/>
      </c>
      <c r="C15" s="227" t="str">
        <f t="shared" si="2"/>
        <v/>
      </c>
      <c r="D15" s="228" t="str">
        <f t="shared" si="3"/>
        <v/>
      </c>
      <c r="E15" s="229">
        <f t="shared" si="4"/>
        <v>9</v>
      </c>
      <c r="F15" s="243" t="s">
        <v>114</v>
      </c>
      <c r="G15" s="230"/>
      <c r="H15" s="231"/>
      <c r="I15" s="232">
        <f t="shared" si="5"/>
        <v>54</v>
      </c>
      <c r="J15" s="233" t="str">
        <f>INDEX(ETAPP!B$1:B$32,MATCH(COUNTIF(P15:R15,PIV!A$1),ETAPP!A$1:A$32,0))&amp;INDEX(ETAPP!B$1:B$32,MATCH(COUNTIF(P15:R15,PIV!A$2),ETAPP!A$1:A$32,0))&amp;INDEX(ETAPP!B$1:B$32,MATCH(COUNTIF(P15:R15,PIV!A$3),ETAPP!A$1:A$32,0))&amp;INDEX(ETAPP!B$1:B$32,MATCH(COUNTIF(P15:R15,PIV!A$4),ETAPP!A$1:A$32,0))&amp;INDEX(ETAPP!B$1:B$32,MATCH(COUNTIF(P15:R15,PIV!A$5),ETAPP!A$1:A$32,0))&amp;INDEX(ETAPP!B$1:B$32,MATCH(COUNTIF(P15:R15,PIV!A$6),ETAPP!A$1:A$32,0))&amp;INDEX(ETAPP!B$1:B$32,MATCH(COUNTIF(P15:R15,PIV!A$7),ETAPP!A$1:A$32,0))&amp;INDEX(ETAPP!B$1:B$32,MATCH(COUNTIF(P15:R15,PIV!A$8),ETAPP!A$1:A$32,0))&amp;INDEX(ETAPP!B$1:B$32,MATCH(COUNTIF(P15:R15,PIV!A$9),ETAPP!A$1:A$32,0))&amp;INDEX(ETAPP!B$1:B$32,MATCH(COUNTIF(P15:R15,PIV!A$10),ETAPP!A$1:A$32,0))&amp;INDEX(ETAPP!B$1:B$32,MATCH(COUNTIF(P15:R15,PIV!A$11),ETAPP!A$1:A$32,0))&amp;INDEX(ETAPP!B$1:B$32,MATCH(COUNTIF(P15:R15,PIV!A$12),ETAPP!A$1:A$32,0))&amp;INDEX(ETAPP!B$1:B$32,MATCH(COUNTIF(P15:R15,PIV!A$13),ETAPP!A$1:A$32,0))&amp;INDEX(ETAPP!B$1:B$32,MATCH(COUNTIF(P15:R15,PIV!A$14),ETAPP!A$1:A$32,0))&amp;INDEX(ETAPP!B$1:B$32,MATCH(COUNTIF(P15:R15,PIV!A$15),ETAPP!A$1:A$32,0))&amp;INDEX(ETAPP!B$1:B$32,MATCH(COUNTIF(P15:R15,PIV!A$16),ETAPP!A$1:A$32,0))&amp;INDEX(ETAPP!B$1:B$32,MATCH(COUNTIF(P15:R15,PIV!A$17),ETAPP!A$1:A$32,0))&amp;INDEX(ETAPP!B$1:B$32,MATCH(COUNTIF(P15:R15,PIV!A$18),ETAPP!A$1:A$32,0))&amp;INDEX(ETAPP!B$1:B$32,MATCH(COUNTIF(P15:R15,PIV!A$19),ETAPP!A$1:A$32,0))</f>
        <v>00000A0A0A000000000</v>
      </c>
      <c r="K15" s="233" t="str">
        <f t="shared" si="6"/>
        <v>054,0-00000A0A0A000000000</v>
      </c>
      <c r="L15" s="234">
        <f t="shared" si="7"/>
        <v>9</v>
      </c>
      <c r="M15" s="234">
        <f t="shared" si="8"/>
        <v>15</v>
      </c>
      <c r="N15" s="233" t="str">
        <f t="shared" si="9"/>
        <v>054,0-00000A0A0A000000000-015</v>
      </c>
      <c r="O15" s="235">
        <f t="shared" si="10"/>
        <v>15</v>
      </c>
      <c r="P15" s="236">
        <f>IFERROR(INDEX('1'!C$300:C$400,MATCH("*"&amp;F15&amp;"*",'1'!B$300:B$400,0)),"  ")</f>
        <v>22</v>
      </c>
      <c r="Q15" s="237">
        <f>IFERROR(INDEX('5'!C$300:C$400,MATCH("*"&amp;F15&amp;"*",'5'!B$300:B$400,0)),"  ")</f>
        <v>18</v>
      </c>
      <c r="R15" s="237">
        <f>IFERROR(INDEX('6'!C$300:C$400,MATCH("*"&amp;F15&amp;"*",'6'!B$300:B$400,0)),"  ")</f>
        <v>14</v>
      </c>
      <c r="S15" s="239">
        <f t="shared" si="11"/>
        <v>3</v>
      </c>
      <c r="T15" s="239">
        <f t="shared" si="12"/>
        <v>0</v>
      </c>
      <c r="U15" s="239">
        <f t="shared" si="13"/>
        <v>0</v>
      </c>
      <c r="V15" s="171"/>
    </row>
    <row r="16" spans="1:22" x14ac:dyDescent="0.2">
      <c r="A16" s="225" t="str">
        <f t="shared" si="0"/>
        <v/>
      </c>
      <c r="B16" s="226" t="str">
        <f t="shared" si="1"/>
        <v/>
      </c>
      <c r="C16" s="227" t="str">
        <f t="shared" si="2"/>
        <v/>
      </c>
      <c r="D16" s="228" t="str">
        <f t="shared" si="3"/>
        <v/>
      </c>
      <c r="E16" s="229">
        <f t="shared" si="4"/>
        <v>10</v>
      </c>
      <c r="F16" s="191" t="s">
        <v>112</v>
      </c>
      <c r="G16" s="230"/>
      <c r="H16" s="231"/>
      <c r="I16" s="232">
        <f t="shared" si="5"/>
        <v>53</v>
      </c>
      <c r="J16" s="233" t="str">
        <f>INDEX(ETAPP!B$1:B$32,MATCH(COUNTIF(P16:R16,PIV!A$1),ETAPP!A$1:A$32,0))&amp;INDEX(ETAPP!B$1:B$32,MATCH(COUNTIF(P16:R16,PIV!A$2),ETAPP!A$1:A$32,0))&amp;INDEX(ETAPP!B$1:B$32,MATCH(COUNTIF(P16:R16,PIV!A$3),ETAPP!A$1:A$32,0))&amp;INDEX(ETAPP!B$1:B$32,MATCH(COUNTIF(P16:R16,PIV!A$4),ETAPP!A$1:A$32,0))&amp;INDEX(ETAPP!B$1:B$32,MATCH(COUNTIF(P16:R16,PIV!A$5),ETAPP!A$1:A$32,0))&amp;INDEX(ETAPP!B$1:B$32,MATCH(COUNTIF(P16:R16,PIV!A$6),ETAPP!A$1:A$32,0))&amp;INDEX(ETAPP!B$1:B$32,MATCH(COUNTIF(P16:R16,PIV!A$7),ETAPP!A$1:A$32,0))&amp;INDEX(ETAPP!B$1:B$32,MATCH(COUNTIF(P16:R16,PIV!A$8),ETAPP!A$1:A$32,0))&amp;INDEX(ETAPP!B$1:B$32,MATCH(COUNTIF(P16:R16,PIV!A$9),ETAPP!A$1:A$32,0))&amp;INDEX(ETAPP!B$1:B$32,MATCH(COUNTIF(P16:R16,PIV!A$10),ETAPP!A$1:A$32,0))&amp;INDEX(ETAPP!B$1:B$32,MATCH(COUNTIF(P16:R16,PIV!A$11),ETAPP!A$1:A$32,0))&amp;INDEX(ETAPP!B$1:B$32,MATCH(COUNTIF(P16:R16,PIV!A$12),ETAPP!A$1:A$32,0))&amp;INDEX(ETAPP!B$1:B$32,MATCH(COUNTIF(P16:R16,PIV!A$13),ETAPP!A$1:A$32,0))&amp;INDEX(ETAPP!B$1:B$32,MATCH(COUNTIF(P16:R16,PIV!A$14),ETAPP!A$1:A$32,0))&amp;INDEX(ETAPP!B$1:B$32,MATCH(COUNTIF(P16:R16,PIV!A$15),ETAPP!A$1:A$32,0))&amp;INDEX(ETAPP!B$1:B$32,MATCH(COUNTIF(P16:R16,PIV!A$16),ETAPP!A$1:A$32,0))&amp;INDEX(ETAPP!B$1:B$32,MATCH(COUNTIF(P16:R16,PIV!A$17),ETAPP!A$1:A$32,0))&amp;INDEX(ETAPP!B$1:B$32,MATCH(COUNTIF(P16:R16,PIV!A$18),ETAPP!A$1:A$32,0))&amp;INDEX(ETAPP!B$1:B$32,MATCH(COUNTIF(P16:R16,PIV!A$19),ETAPP!A$1:A$32,0))</f>
        <v>00A00A0000000000A00</v>
      </c>
      <c r="K16" s="233" t="str">
        <f t="shared" si="6"/>
        <v>053,0-00A00A0000000000A00</v>
      </c>
      <c r="L16" s="234">
        <f t="shared" si="7"/>
        <v>10</v>
      </c>
      <c r="M16" s="234">
        <f t="shared" si="8"/>
        <v>21</v>
      </c>
      <c r="N16" s="233" t="str">
        <f t="shared" si="9"/>
        <v>053,0-00A00A0000000000A00-021</v>
      </c>
      <c r="O16" s="235">
        <f t="shared" si="10"/>
        <v>14</v>
      </c>
      <c r="P16" s="236">
        <f>IFERROR(INDEX('1'!C$300:C$400,MATCH("*"&amp;F16&amp;"*",'1'!B$300:B$400,0)),"  ")</f>
        <v>30</v>
      </c>
      <c r="Q16" s="237">
        <f>IFERROR(INDEX('5'!C$300:C$400,MATCH("*"&amp;F16&amp;"*",'5'!B$300:B$400,0)),"  ")</f>
        <v>22</v>
      </c>
      <c r="R16" s="237">
        <f>IFERROR(INDEX('6'!C$300:C$400,MATCH("*"&amp;F16&amp;"*",'6'!B$300:B$400,0)),"  ")</f>
        <v>1</v>
      </c>
      <c r="S16" s="239">
        <f t="shared" si="11"/>
        <v>3</v>
      </c>
      <c r="T16" s="239">
        <f t="shared" si="12"/>
        <v>1</v>
      </c>
      <c r="U16" s="239">
        <f t="shared" si="13"/>
        <v>0</v>
      </c>
      <c r="V16" s="171"/>
    </row>
    <row r="17" spans="1:22" x14ac:dyDescent="0.2">
      <c r="A17" s="225">
        <f t="shared" si="0"/>
        <v>1</v>
      </c>
      <c r="B17" s="226">
        <f t="shared" si="1"/>
        <v>11</v>
      </c>
      <c r="C17" s="227" t="str">
        <f t="shared" si="2"/>
        <v/>
      </c>
      <c r="D17" s="228" t="str">
        <f t="shared" si="3"/>
        <v/>
      </c>
      <c r="E17" s="229">
        <f t="shared" si="4"/>
        <v>11</v>
      </c>
      <c r="F17" s="242" t="s">
        <v>118</v>
      </c>
      <c r="G17" s="230" t="s">
        <v>119</v>
      </c>
      <c r="H17" s="231"/>
      <c r="I17" s="232">
        <f t="shared" si="5"/>
        <v>52</v>
      </c>
      <c r="J17" s="233" t="str">
        <f>INDEX(ETAPP!B$1:B$32,MATCH(COUNTIF(P17:R17,PIV!A$1),ETAPP!A$1:A$32,0))&amp;INDEX(ETAPP!B$1:B$32,MATCH(COUNTIF(P17:R17,PIV!A$2),ETAPP!A$1:A$32,0))&amp;INDEX(ETAPP!B$1:B$32,MATCH(COUNTIF(P17:R17,PIV!A$3),ETAPP!A$1:A$32,0))&amp;INDEX(ETAPP!B$1:B$32,MATCH(COUNTIF(P17:R17,PIV!A$4),ETAPP!A$1:A$32,0))&amp;INDEX(ETAPP!B$1:B$32,MATCH(COUNTIF(P17:R17,PIV!A$5),ETAPP!A$1:A$32,0))&amp;INDEX(ETAPP!B$1:B$32,MATCH(COUNTIF(P17:R17,PIV!A$6),ETAPP!A$1:A$32,0))&amp;INDEX(ETAPP!B$1:B$32,MATCH(COUNTIF(P17:R17,PIV!A$7),ETAPP!A$1:A$32,0))&amp;INDEX(ETAPP!B$1:B$32,MATCH(COUNTIF(P17:R17,PIV!A$8),ETAPP!A$1:A$32,0))&amp;INDEX(ETAPP!B$1:B$32,MATCH(COUNTIF(P17:R17,PIV!A$9),ETAPP!A$1:A$32,0))&amp;INDEX(ETAPP!B$1:B$32,MATCH(COUNTIF(P17:R17,PIV!A$10),ETAPP!A$1:A$32,0))&amp;INDEX(ETAPP!B$1:B$32,MATCH(COUNTIF(P17:R17,PIV!A$11),ETAPP!A$1:A$32,0))&amp;INDEX(ETAPP!B$1:B$32,MATCH(COUNTIF(P17:R17,PIV!A$12),ETAPP!A$1:A$32,0))&amp;INDEX(ETAPP!B$1:B$32,MATCH(COUNTIF(P17:R17,PIV!A$13),ETAPP!A$1:A$32,0))&amp;INDEX(ETAPP!B$1:B$32,MATCH(COUNTIF(P17:R17,PIV!A$14),ETAPP!A$1:A$32,0))&amp;INDEX(ETAPP!B$1:B$32,MATCH(COUNTIF(P17:R17,PIV!A$15),ETAPP!A$1:A$32,0))&amp;INDEX(ETAPP!B$1:B$32,MATCH(COUNTIF(P17:R17,PIV!A$16),ETAPP!A$1:A$32,0))&amp;INDEX(ETAPP!B$1:B$32,MATCH(COUNTIF(P17:R17,PIV!A$17),ETAPP!A$1:A$32,0))&amp;INDEX(ETAPP!B$1:B$32,MATCH(COUNTIF(P17:R17,PIV!A$18),ETAPP!A$1:A$32,0))&amp;INDEX(ETAPP!B$1:B$32,MATCH(COUNTIF(P17:R17,PIV!A$19),ETAPP!A$1:A$32,0))</f>
        <v>00A00A000000000000A</v>
      </c>
      <c r="K17" s="233" t="str">
        <f t="shared" si="6"/>
        <v>052,0-00A00A000000000000A</v>
      </c>
      <c r="L17" s="234">
        <f t="shared" si="7"/>
        <v>11</v>
      </c>
      <c r="M17" s="234">
        <f t="shared" si="8"/>
        <v>6</v>
      </c>
      <c r="N17" s="233" t="str">
        <f t="shared" si="9"/>
        <v>052,0-00A00A000000000000A-006</v>
      </c>
      <c r="O17" s="235">
        <f t="shared" si="10"/>
        <v>13</v>
      </c>
      <c r="P17" s="236">
        <f>IFERROR(INDEX('1'!C$300:C$400,MATCH("*"&amp;F17&amp;"*",'1'!B$300:B$400,0)),"  ")</f>
        <v>30</v>
      </c>
      <c r="Q17" s="237">
        <f>IFERROR(INDEX('5'!C$300:C$400,MATCH("*"&amp;F17&amp;"*",'5'!B$300:B$400,0)),"  ")</f>
        <v>22</v>
      </c>
      <c r="R17" s="237" t="str">
        <f>IFERROR(INDEX('6'!C$300:C$400,MATCH("*"&amp;F17&amp;"*",'6'!B$300:B$400,0)),"  ")</f>
        <v xml:space="preserve">  </v>
      </c>
      <c r="S17" s="239">
        <f t="shared" si="11"/>
        <v>2</v>
      </c>
      <c r="T17" s="239">
        <f t="shared" si="12"/>
        <v>1</v>
      </c>
      <c r="U17" s="239">
        <f t="shared" si="13"/>
        <v>0</v>
      </c>
      <c r="V17" s="171"/>
    </row>
    <row r="18" spans="1:22" x14ac:dyDescent="0.2">
      <c r="A18" s="225" t="str">
        <f t="shared" si="0"/>
        <v/>
      </c>
      <c r="B18" s="226" t="str">
        <f t="shared" si="1"/>
        <v/>
      </c>
      <c r="C18" s="227" t="str">
        <f t="shared" si="2"/>
        <v/>
      </c>
      <c r="D18" s="228" t="str">
        <f t="shared" si="3"/>
        <v/>
      </c>
      <c r="E18" s="229">
        <f t="shared" si="4"/>
        <v>12</v>
      </c>
      <c r="F18" s="243" t="s">
        <v>109</v>
      </c>
      <c r="G18" s="230"/>
      <c r="H18" s="231"/>
      <c r="I18" s="232">
        <f t="shared" si="5"/>
        <v>50</v>
      </c>
      <c r="J18" s="233" t="str">
        <f>INDEX(ETAPP!B$1:B$32,MATCH(COUNTIF(P18:R18,PIV!A$1),ETAPP!A$1:A$32,0))&amp;INDEX(ETAPP!B$1:B$32,MATCH(COUNTIF(P18:R18,PIV!A$2),ETAPP!A$1:A$32,0))&amp;INDEX(ETAPP!B$1:B$32,MATCH(COUNTIF(P18:R18,PIV!A$3),ETAPP!A$1:A$32,0))&amp;INDEX(ETAPP!B$1:B$32,MATCH(COUNTIF(P18:R18,PIV!A$4),ETAPP!A$1:A$32,0))&amp;INDEX(ETAPP!B$1:B$32,MATCH(COUNTIF(P18:R18,PIV!A$5),ETAPP!A$1:A$32,0))&amp;INDEX(ETAPP!B$1:B$32,MATCH(COUNTIF(P18:R18,PIV!A$6),ETAPP!A$1:A$32,0))&amp;INDEX(ETAPP!B$1:B$32,MATCH(COUNTIF(P18:R18,PIV!A$7),ETAPP!A$1:A$32,0))&amp;INDEX(ETAPP!B$1:B$32,MATCH(COUNTIF(P18:R18,PIV!A$8),ETAPP!A$1:A$32,0))&amp;INDEX(ETAPP!B$1:B$32,MATCH(COUNTIF(P18:R18,PIV!A$9),ETAPP!A$1:A$32,0))&amp;INDEX(ETAPP!B$1:B$32,MATCH(COUNTIF(P18:R18,PIV!A$10),ETAPP!A$1:A$32,0))&amp;INDEX(ETAPP!B$1:B$32,MATCH(COUNTIF(P18:R18,PIV!A$11),ETAPP!A$1:A$32,0))&amp;INDEX(ETAPP!B$1:B$32,MATCH(COUNTIF(P18:R18,PIV!A$12),ETAPP!A$1:A$32,0))&amp;INDEX(ETAPP!B$1:B$32,MATCH(COUNTIF(P18:R18,PIV!A$13),ETAPP!A$1:A$32,0))&amp;INDEX(ETAPP!B$1:B$32,MATCH(COUNTIF(P18:R18,PIV!A$14),ETAPP!A$1:A$32,0))&amp;INDEX(ETAPP!B$1:B$32,MATCH(COUNTIF(P18:R18,PIV!A$15),ETAPP!A$1:A$32,0))&amp;INDEX(ETAPP!B$1:B$32,MATCH(COUNTIF(P18:R18,PIV!A$16),ETAPP!A$1:A$32,0))&amp;INDEX(ETAPP!B$1:B$32,MATCH(COUNTIF(P18:R18,PIV!A$17),ETAPP!A$1:A$32,0))&amp;INDEX(ETAPP!B$1:B$32,MATCH(COUNTIF(P18:R18,PIV!A$18),ETAPP!A$1:A$32,0))&amp;INDEX(ETAPP!B$1:B$32,MATCH(COUNTIF(P18:R18,PIV!A$19),ETAPP!A$1:A$32,0))</f>
        <v>000A00A0000000A0000</v>
      </c>
      <c r="K18" s="233" t="str">
        <f t="shared" si="6"/>
        <v>050,0-000A00A0000000A0000</v>
      </c>
      <c r="L18" s="234">
        <f t="shared" si="7"/>
        <v>12</v>
      </c>
      <c r="M18" s="234">
        <f t="shared" si="8"/>
        <v>19</v>
      </c>
      <c r="N18" s="233" t="str">
        <f t="shared" si="9"/>
        <v>050,0-000A00A0000000A0000-019</v>
      </c>
      <c r="O18" s="235">
        <f t="shared" si="10"/>
        <v>12</v>
      </c>
      <c r="P18" s="236">
        <f>IFERROR(INDEX('1'!C$300:C$400,MATCH("*"&amp;F18&amp;"*",'1'!B$300:B$400,0)),"  ")</f>
        <v>20</v>
      </c>
      <c r="Q18" s="237">
        <f>IFERROR(INDEX('5'!C$300:C$400,MATCH("*"&amp;F18&amp;"*",'5'!B$300:B$400,0)),"  ")</f>
        <v>26</v>
      </c>
      <c r="R18" s="237">
        <f>IFERROR(INDEX('6'!C$300:C$400,MATCH("*"&amp;F18&amp;"*",'6'!B$300:B$400,0)),"  ")</f>
        <v>4</v>
      </c>
      <c r="S18" s="239">
        <f t="shared" si="11"/>
        <v>3</v>
      </c>
      <c r="T18" s="239">
        <f t="shared" si="12"/>
        <v>0</v>
      </c>
      <c r="U18" s="239">
        <f t="shared" si="13"/>
        <v>0</v>
      </c>
      <c r="V18" s="246"/>
    </row>
    <row r="19" spans="1:22" x14ac:dyDescent="0.2">
      <c r="A19" s="225" t="str">
        <f t="shared" si="0"/>
        <v/>
      </c>
      <c r="B19" s="226" t="str">
        <f t="shared" si="1"/>
        <v/>
      </c>
      <c r="C19" s="227" t="str">
        <f t="shared" si="2"/>
        <v/>
      </c>
      <c r="D19" s="228" t="str">
        <f t="shared" si="3"/>
        <v/>
      </c>
      <c r="E19" s="229">
        <f t="shared" si="4"/>
        <v>13</v>
      </c>
      <c r="F19" s="242" t="s">
        <v>108</v>
      </c>
      <c r="G19" s="230"/>
      <c r="H19" s="231"/>
      <c r="I19" s="232">
        <f t="shared" si="5"/>
        <v>48</v>
      </c>
      <c r="J19" s="233" t="str">
        <f>INDEX(ETAPP!B$1:B$32,MATCH(COUNTIF(P19:R19,PIV!A$1),ETAPP!A$1:A$32,0))&amp;INDEX(ETAPP!B$1:B$32,MATCH(COUNTIF(P19:R19,PIV!A$2),ETAPP!A$1:A$32,0))&amp;INDEX(ETAPP!B$1:B$32,MATCH(COUNTIF(P19:R19,PIV!A$3),ETAPP!A$1:A$32,0))&amp;INDEX(ETAPP!B$1:B$32,MATCH(COUNTIF(P19:R19,PIV!A$4),ETAPP!A$1:A$32,0))&amp;INDEX(ETAPP!B$1:B$32,MATCH(COUNTIF(P19:R19,PIV!A$5),ETAPP!A$1:A$32,0))&amp;INDEX(ETAPP!B$1:B$32,MATCH(COUNTIF(P19:R19,PIV!A$6),ETAPP!A$1:A$32,0))&amp;INDEX(ETAPP!B$1:B$32,MATCH(COUNTIF(P19:R19,PIV!A$7),ETAPP!A$1:A$32,0))&amp;INDEX(ETAPP!B$1:B$32,MATCH(COUNTIF(P19:R19,PIV!A$8),ETAPP!A$1:A$32,0))&amp;INDEX(ETAPP!B$1:B$32,MATCH(COUNTIF(P19:R19,PIV!A$9),ETAPP!A$1:A$32,0))&amp;INDEX(ETAPP!B$1:B$32,MATCH(COUNTIF(P19:R19,PIV!A$10),ETAPP!A$1:A$32,0))&amp;INDEX(ETAPP!B$1:B$32,MATCH(COUNTIF(P19:R19,PIV!A$11),ETAPP!A$1:A$32,0))&amp;INDEX(ETAPP!B$1:B$32,MATCH(COUNTIF(P19:R19,PIV!A$12),ETAPP!A$1:A$32,0))&amp;INDEX(ETAPP!B$1:B$32,MATCH(COUNTIF(P19:R19,PIV!A$13),ETAPP!A$1:A$32,0))&amp;INDEX(ETAPP!B$1:B$32,MATCH(COUNTIF(P19:R19,PIV!A$14),ETAPP!A$1:A$32,0))&amp;INDEX(ETAPP!B$1:B$32,MATCH(COUNTIF(P19:R19,PIV!A$15),ETAPP!A$1:A$32,0))&amp;INDEX(ETAPP!B$1:B$32,MATCH(COUNTIF(P19:R19,PIV!A$16),ETAPP!A$1:A$32,0))&amp;INDEX(ETAPP!B$1:B$32,MATCH(COUNTIF(P19:R19,PIV!A$17),ETAPP!A$1:A$32,0))&amp;INDEX(ETAPP!B$1:B$32,MATCH(COUNTIF(P19:R19,PIV!A$18),ETAPP!A$1:A$32,0))&amp;INDEX(ETAPP!B$1:B$32,MATCH(COUNTIF(P19:R19,PIV!A$19),ETAPP!A$1:A$32,0))</f>
        <v>000A0A000000000000A</v>
      </c>
      <c r="K19" s="233" t="str">
        <f t="shared" si="6"/>
        <v>048,0-000A0A000000000000A</v>
      </c>
      <c r="L19" s="234">
        <f t="shared" si="7"/>
        <v>13</v>
      </c>
      <c r="M19" s="234">
        <f t="shared" si="8"/>
        <v>8</v>
      </c>
      <c r="N19" s="233" t="str">
        <f t="shared" si="9"/>
        <v>048,0-000A0A000000000000A-008</v>
      </c>
      <c r="O19" s="235">
        <f t="shared" si="10"/>
        <v>11</v>
      </c>
      <c r="P19" s="236">
        <f>IFERROR(INDEX('1'!C$300:C$400,MATCH("*"&amp;F19&amp;"*",'1'!B$300:B$400,0)),"  ")</f>
        <v>22</v>
      </c>
      <c r="Q19" s="237" t="str">
        <f>IFERROR(INDEX('5'!C$300:C$400,MATCH("*"&amp;F19&amp;"*",'5'!B$300:B$400,0)),"  ")</f>
        <v xml:space="preserve">  </v>
      </c>
      <c r="R19" s="237">
        <f>IFERROR(INDEX('6'!C$300:C$400,MATCH("*"&amp;F19&amp;"*",'6'!B$300:B$400,0)),"  ")</f>
        <v>26</v>
      </c>
      <c r="S19" s="239">
        <f t="shared" si="11"/>
        <v>2</v>
      </c>
      <c r="T19" s="239">
        <f t="shared" si="12"/>
        <v>0</v>
      </c>
      <c r="U19" s="239">
        <f t="shared" si="13"/>
        <v>0</v>
      </c>
      <c r="V19" s="171"/>
    </row>
    <row r="20" spans="1:22" x14ac:dyDescent="0.2">
      <c r="A20" s="225" t="str">
        <f t="shared" si="0"/>
        <v/>
      </c>
      <c r="B20" s="226" t="str">
        <f t="shared" si="1"/>
        <v/>
      </c>
      <c r="C20" s="227" t="str">
        <f t="shared" si="2"/>
        <v/>
      </c>
      <c r="D20" s="228" t="str">
        <f t="shared" si="3"/>
        <v/>
      </c>
      <c r="E20" s="229">
        <f t="shared" si="4"/>
        <v>14</v>
      </c>
      <c r="F20" s="191" t="s">
        <v>123</v>
      </c>
      <c r="G20" s="230"/>
      <c r="H20" s="231"/>
      <c r="I20" s="232">
        <f t="shared" si="5"/>
        <v>34</v>
      </c>
      <c r="J20" s="233" t="str">
        <f>INDEX(ETAPP!B$1:B$32,MATCH(COUNTIF(P20:R20,PIV!A$1),ETAPP!A$1:A$32,0))&amp;INDEX(ETAPP!B$1:B$32,MATCH(COUNTIF(P20:R20,PIV!A$2),ETAPP!A$1:A$32,0))&amp;INDEX(ETAPP!B$1:B$32,MATCH(COUNTIF(P20:R20,PIV!A$3),ETAPP!A$1:A$32,0))&amp;INDEX(ETAPP!B$1:B$32,MATCH(COUNTIF(P20:R20,PIV!A$4),ETAPP!A$1:A$32,0))&amp;INDEX(ETAPP!B$1:B$32,MATCH(COUNTIF(P20:R20,PIV!A$5),ETAPP!A$1:A$32,0))&amp;INDEX(ETAPP!B$1:B$32,MATCH(COUNTIF(P20:R20,PIV!A$6),ETAPP!A$1:A$32,0))&amp;INDEX(ETAPP!B$1:B$32,MATCH(COUNTIF(P20:R20,PIV!A$7),ETAPP!A$1:A$32,0))&amp;INDEX(ETAPP!B$1:B$32,MATCH(COUNTIF(P20:R20,PIV!A$8),ETAPP!A$1:A$32,0))&amp;INDEX(ETAPP!B$1:B$32,MATCH(COUNTIF(P20:R20,PIV!A$9),ETAPP!A$1:A$32,0))&amp;INDEX(ETAPP!B$1:B$32,MATCH(COUNTIF(P20:R20,PIV!A$10),ETAPP!A$1:A$32,0))&amp;INDEX(ETAPP!B$1:B$32,MATCH(COUNTIF(P20:R20,PIV!A$11),ETAPP!A$1:A$32,0))&amp;INDEX(ETAPP!B$1:B$32,MATCH(COUNTIF(P20:R20,PIV!A$12),ETAPP!A$1:A$32,0))&amp;INDEX(ETAPP!B$1:B$32,MATCH(COUNTIF(P20:R20,PIV!A$13),ETAPP!A$1:A$32,0))&amp;INDEX(ETAPP!B$1:B$32,MATCH(COUNTIF(P20:R20,PIV!A$14),ETAPP!A$1:A$32,0))&amp;INDEX(ETAPP!B$1:B$32,MATCH(COUNTIF(P20:R20,PIV!A$15),ETAPP!A$1:A$32,0))&amp;INDEX(ETAPP!B$1:B$32,MATCH(COUNTIF(P20:R20,PIV!A$16),ETAPP!A$1:A$32,0))&amp;INDEX(ETAPP!B$1:B$32,MATCH(COUNTIF(P20:R20,PIV!A$17),ETAPP!A$1:A$32,0))&amp;INDEX(ETAPP!B$1:B$32,MATCH(COUNTIF(P20:R20,PIV!A$18),ETAPP!A$1:A$32,0))&amp;INDEX(ETAPP!B$1:B$32,MATCH(COUNTIF(P20:R20,PIV!A$19),ETAPP!A$1:A$32,0))</f>
        <v>0A0000000000000000B</v>
      </c>
      <c r="K20" s="233" t="str">
        <f t="shared" si="6"/>
        <v>034,0-0A0000000000000000B</v>
      </c>
      <c r="L20" s="234">
        <f t="shared" si="7"/>
        <v>14</v>
      </c>
      <c r="M20" s="234">
        <f t="shared" si="8"/>
        <v>12</v>
      </c>
      <c r="N20" s="233" t="str">
        <f t="shared" si="9"/>
        <v>034,0-0A0000000000000000B-012</v>
      </c>
      <c r="O20" s="235">
        <f t="shared" si="10"/>
        <v>10</v>
      </c>
      <c r="P20" s="236" t="str">
        <f>IFERROR(INDEX('1'!C$300:C$400,MATCH("*"&amp;F20&amp;"*",'1'!B$300:B$400,0)),"  ")</f>
        <v xml:space="preserve">  </v>
      </c>
      <c r="Q20" s="237">
        <f>IFERROR(INDEX('5'!C$300:C$400,MATCH("*"&amp;F20&amp;"*",'5'!B$300:B$400,0)),"  ")</f>
        <v>34</v>
      </c>
      <c r="R20" s="237" t="str">
        <f>IFERROR(INDEX('6'!C$300:C$400,MATCH("*"&amp;F20&amp;"*",'6'!B$300:B$400,0)),"  ")</f>
        <v xml:space="preserve">  </v>
      </c>
      <c r="S20" s="239">
        <f t="shared" si="11"/>
        <v>1</v>
      </c>
      <c r="T20" s="239">
        <f t="shared" si="12"/>
        <v>1</v>
      </c>
      <c r="U20" s="239">
        <f t="shared" si="13"/>
        <v>0</v>
      </c>
      <c r="V20" s="171"/>
    </row>
    <row r="21" spans="1:22" x14ac:dyDescent="0.2">
      <c r="A21" s="225" t="str">
        <f t="shared" si="0"/>
        <v/>
      </c>
      <c r="B21" s="226" t="str">
        <f t="shared" si="1"/>
        <v/>
      </c>
      <c r="C21" s="227" t="str">
        <f t="shared" si="2"/>
        <v/>
      </c>
      <c r="D21" s="228" t="str">
        <f t="shared" si="3"/>
        <v/>
      </c>
      <c r="E21" s="229">
        <f t="shared" si="4"/>
        <v>15</v>
      </c>
      <c r="F21" s="242" t="s">
        <v>120</v>
      </c>
      <c r="G21" s="230"/>
      <c r="H21" s="231"/>
      <c r="I21" s="232">
        <f t="shared" si="5"/>
        <v>30</v>
      </c>
      <c r="J21" s="233" t="str">
        <f>INDEX(ETAPP!B$1:B$32,MATCH(COUNTIF(P21:R21,PIV!A$1),ETAPP!A$1:A$32,0))&amp;INDEX(ETAPP!B$1:B$32,MATCH(COUNTIF(P21:R21,PIV!A$2),ETAPP!A$1:A$32,0))&amp;INDEX(ETAPP!B$1:B$32,MATCH(COUNTIF(P21:R21,PIV!A$3),ETAPP!A$1:A$32,0))&amp;INDEX(ETAPP!B$1:B$32,MATCH(COUNTIF(P21:R21,PIV!A$4),ETAPP!A$1:A$32,0))&amp;INDEX(ETAPP!B$1:B$32,MATCH(COUNTIF(P21:R21,PIV!A$5),ETAPP!A$1:A$32,0))&amp;INDEX(ETAPP!B$1:B$32,MATCH(COUNTIF(P21:R21,PIV!A$6),ETAPP!A$1:A$32,0))&amp;INDEX(ETAPP!B$1:B$32,MATCH(COUNTIF(P21:R21,PIV!A$7),ETAPP!A$1:A$32,0))&amp;INDEX(ETAPP!B$1:B$32,MATCH(COUNTIF(P21:R21,PIV!A$8),ETAPP!A$1:A$32,0))&amp;INDEX(ETAPP!B$1:B$32,MATCH(COUNTIF(P21:R21,PIV!A$9),ETAPP!A$1:A$32,0))&amp;INDEX(ETAPP!B$1:B$32,MATCH(COUNTIF(P21:R21,PIV!A$10),ETAPP!A$1:A$32,0))&amp;INDEX(ETAPP!B$1:B$32,MATCH(COUNTIF(P21:R21,PIV!A$11),ETAPP!A$1:A$32,0))&amp;INDEX(ETAPP!B$1:B$32,MATCH(COUNTIF(P21:R21,PIV!A$12),ETAPP!A$1:A$32,0))&amp;INDEX(ETAPP!B$1:B$32,MATCH(COUNTIF(P21:R21,PIV!A$13),ETAPP!A$1:A$32,0))&amp;INDEX(ETAPP!B$1:B$32,MATCH(COUNTIF(P21:R21,PIV!A$14),ETAPP!A$1:A$32,0))&amp;INDEX(ETAPP!B$1:B$32,MATCH(COUNTIF(P21:R21,PIV!A$15),ETAPP!A$1:A$32,0))&amp;INDEX(ETAPP!B$1:B$32,MATCH(COUNTIF(P21:R21,PIV!A$16),ETAPP!A$1:A$32,0))&amp;INDEX(ETAPP!B$1:B$32,MATCH(COUNTIF(P21:R21,PIV!A$17),ETAPP!A$1:A$32,0))&amp;INDEX(ETAPP!B$1:B$32,MATCH(COUNTIF(P21:R21,PIV!A$18),ETAPP!A$1:A$32,0))&amp;INDEX(ETAPP!B$1:B$32,MATCH(COUNTIF(P21:R21,PIV!A$19),ETAPP!A$1:A$32,0))</f>
        <v>0000000A00A0000000A</v>
      </c>
      <c r="K21" s="233" t="str">
        <f t="shared" si="6"/>
        <v>030,0-0000000A00A0000000A</v>
      </c>
      <c r="L21" s="234">
        <f t="shared" si="7"/>
        <v>15</v>
      </c>
      <c r="M21" s="234">
        <f t="shared" si="8"/>
        <v>5</v>
      </c>
      <c r="N21" s="233" t="str">
        <f t="shared" si="9"/>
        <v>030,0-0000000A00A0000000A-005</v>
      </c>
      <c r="O21" s="235">
        <f t="shared" si="10"/>
        <v>9</v>
      </c>
      <c r="P21" s="236">
        <f>IFERROR(INDEX('1'!C$300:C$400,MATCH("*"&amp;F21&amp;"*",'1'!B$300:B$400,0)),"  ")</f>
        <v>18</v>
      </c>
      <c r="Q21" s="237">
        <f>IFERROR(INDEX('5'!C$300:C$400,MATCH("*"&amp;F21&amp;"*",'5'!B$300:B$400,0)),"  ")</f>
        <v>12</v>
      </c>
      <c r="R21" s="237" t="str">
        <f>IFERROR(INDEX('6'!C$300:C$400,MATCH("*"&amp;F21&amp;"*",'6'!B$300:B$400,0)),"  ")</f>
        <v xml:space="preserve">  </v>
      </c>
      <c r="S21" s="239">
        <f t="shared" si="11"/>
        <v>2</v>
      </c>
      <c r="T21" s="239">
        <f t="shared" si="12"/>
        <v>0</v>
      </c>
      <c r="U21" s="239">
        <f t="shared" si="13"/>
        <v>0</v>
      </c>
      <c r="V21" s="171"/>
    </row>
    <row r="22" spans="1:22" x14ac:dyDescent="0.2">
      <c r="A22" s="225" t="str">
        <f t="shared" si="0"/>
        <v/>
      </c>
      <c r="B22" s="226" t="str">
        <f t="shared" si="1"/>
        <v/>
      </c>
      <c r="C22" s="227" t="str">
        <f t="shared" si="2"/>
        <v/>
      </c>
      <c r="D22" s="228" t="str">
        <f t="shared" si="3"/>
        <v/>
      </c>
      <c r="E22" s="229">
        <f t="shared" si="4"/>
        <v>16</v>
      </c>
      <c r="F22" s="245" t="s">
        <v>139</v>
      </c>
      <c r="G22" s="230"/>
      <c r="H22" s="231"/>
      <c r="I22" s="232">
        <f t="shared" si="5"/>
        <v>26</v>
      </c>
      <c r="J22" s="233" t="str">
        <f>INDEX(ETAPP!B$1:B$32,MATCH(COUNTIF(P22:R22,PIV!A$1),ETAPP!A$1:A$32,0))&amp;INDEX(ETAPP!B$1:B$32,MATCH(COUNTIF(P22:R22,PIV!A$2),ETAPP!A$1:A$32,0))&amp;INDEX(ETAPP!B$1:B$32,MATCH(COUNTIF(P22:R22,PIV!A$3),ETAPP!A$1:A$32,0))&amp;INDEX(ETAPP!B$1:B$32,MATCH(COUNTIF(P22:R22,PIV!A$4),ETAPP!A$1:A$32,0))&amp;INDEX(ETAPP!B$1:B$32,MATCH(COUNTIF(P22:R22,PIV!A$5),ETAPP!A$1:A$32,0))&amp;INDEX(ETAPP!B$1:B$32,MATCH(COUNTIF(P22:R22,PIV!A$6),ETAPP!A$1:A$32,0))&amp;INDEX(ETAPP!B$1:B$32,MATCH(COUNTIF(P22:R22,PIV!A$7),ETAPP!A$1:A$32,0))&amp;INDEX(ETAPP!B$1:B$32,MATCH(COUNTIF(P22:R22,PIV!A$8),ETAPP!A$1:A$32,0))&amp;INDEX(ETAPP!B$1:B$32,MATCH(COUNTIF(P22:R22,PIV!A$9),ETAPP!A$1:A$32,0))&amp;INDEX(ETAPP!B$1:B$32,MATCH(COUNTIF(P22:R22,PIV!A$10),ETAPP!A$1:A$32,0))&amp;INDEX(ETAPP!B$1:B$32,MATCH(COUNTIF(P22:R22,PIV!A$11),ETAPP!A$1:A$32,0))&amp;INDEX(ETAPP!B$1:B$32,MATCH(COUNTIF(P22:R22,PIV!A$12),ETAPP!A$1:A$32,0))&amp;INDEX(ETAPP!B$1:B$32,MATCH(COUNTIF(P22:R22,PIV!A$13),ETAPP!A$1:A$32,0))&amp;INDEX(ETAPP!B$1:B$32,MATCH(COUNTIF(P22:R22,PIV!A$14),ETAPP!A$1:A$32,0))&amp;INDEX(ETAPP!B$1:B$32,MATCH(COUNTIF(P22:R22,PIV!A$15),ETAPP!A$1:A$32,0))&amp;INDEX(ETAPP!B$1:B$32,MATCH(COUNTIF(P22:R22,PIV!A$16),ETAPP!A$1:A$32,0))&amp;INDEX(ETAPP!B$1:B$32,MATCH(COUNTIF(P22:R22,PIV!A$17),ETAPP!A$1:A$32,0))&amp;INDEX(ETAPP!B$1:B$32,MATCH(COUNTIF(P22:R22,PIV!A$18),ETAPP!A$1:A$32,0))&amp;INDEX(ETAPP!B$1:B$32,MATCH(COUNTIF(P22:R22,PIV!A$19),ETAPP!A$1:A$32,0))</f>
        <v>000A00000000000000B</v>
      </c>
      <c r="K22" s="233" t="str">
        <f t="shared" si="6"/>
        <v>026,0-000A00000000000000B</v>
      </c>
      <c r="L22" s="234">
        <f t="shared" si="7"/>
        <v>16</v>
      </c>
      <c r="M22" s="234">
        <f t="shared" si="8"/>
        <v>17</v>
      </c>
      <c r="N22" s="233" t="str">
        <f t="shared" si="9"/>
        <v>026,0-000A00000000000000B-017</v>
      </c>
      <c r="O22" s="235">
        <f t="shared" si="10"/>
        <v>8</v>
      </c>
      <c r="P22" s="236">
        <f>IFERROR(INDEX('1'!C$300:C$400,MATCH("*"&amp;F22&amp;"*",'1'!B$300:B$400,0)),"  ")</f>
        <v>26</v>
      </c>
      <c r="Q22" s="237" t="str">
        <f>IFERROR(INDEX('5'!C$300:C$400,MATCH("*"&amp;F22&amp;"*",'5'!B$300:B$400,0)),"  ")</f>
        <v xml:space="preserve">  </v>
      </c>
      <c r="R22" s="237" t="str">
        <f>IFERROR(INDEX('6'!C$300:C$400,MATCH("*"&amp;F22&amp;"*",'6'!B$300:B$400,0)),"  ")</f>
        <v xml:space="preserve">  </v>
      </c>
      <c r="S22" s="239">
        <f t="shared" si="11"/>
        <v>1</v>
      </c>
      <c r="T22" s="239">
        <f t="shared" si="12"/>
        <v>0</v>
      </c>
      <c r="U22" s="239">
        <f t="shared" si="13"/>
        <v>0</v>
      </c>
      <c r="V22" s="171"/>
    </row>
    <row r="23" spans="1:22" x14ac:dyDescent="0.2">
      <c r="A23" s="225" t="str">
        <f t="shared" si="0"/>
        <v/>
      </c>
      <c r="B23" s="226" t="str">
        <f t="shared" si="1"/>
        <v/>
      </c>
      <c r="C23" s="227" t="str">
        <f t="shared" si="2"/>
        <v/>
      </c>
      <c r="D23" s="228" t="str">
        <f t="shared" si="3"/>
        <v/>
      </c>
      <c r="E23" s="229">
        <f t="shared" si="4"/>
        <v>17</v>
      </c>
      <c r="F23" s="245" t="s">
        <v>143</v>
      </c>
      <c r="G23" s="230"/>
      <c r="H23" s="231"/>
      <c r="I23" s="232">
        <f t="shared" si="5"/>
        <v>24</v>
      </c>
      <c r="J23" s="233" t="str">
        <f>INDEX(ETAPP!B$1:B$32,MATCH(COUNTIF(P23:R23,PIV!A$1),ETAPP!A$1:A$32,0))&amp;INDEX(ETAPP!B$1:B$32,MATCH(COUNTIF(P23:R23,PIV!A$2),ETAPP!A$1:A$32,0))&amp;INDEX(ETAPP!B$1:B$32,MATCH(COUNTIF(P23:R23,PIV!A$3),ETAPP!A$1:A$32,0))&amp;INDEX(ETAPP!B$1:B$32,MATCH(COUNTIF(P23:R23,PIV!A$4),ETAPP!A$1:A$32,0))&amp;INDEX(ETAPP!B$1:B$32,MATCH(COUNTIF(P23:R23,PIV!A$5),ETAPP!A$1:A$32,0))&amp;INDEX(ETAPP!B$1:B$32,MATCH(COUNTIF(P23:R23,PIV!A$6),ETAPP!A$1:A$32,0))&amp;INDEX(ETAPP!B$1:B$32,MATCH(COUNTIF(P23:R23,PIV!A$7),ETAPP!A$1:A$32,0))&amp;INDEX(ETAPP!B$1:B$32,MATCH(COUNTIF(P23:R23,PIV!A$8),ETAPP!A$1:A$32,0))&amp;INDEX(ETAPP!B$1:B$32,MATCH(COUNTIF(P23:R23,PIV!A$9),ETAPP!A$1:A$32,0))&amp;INDEX(ETAPP!B$1:B$32,MATCH(COUNTIF(P23:R23,PIV!A$10),ETAPP!A$1:A$32,0))&amp;INDEX(ETAPP!B$1:B$32,MATCH(COUNTIF(P23:R23,PIV!A$11),ETAPP!A$1:A$32,0))&amp;INDEX(ETAPP!B$1:B$32,MATCH(COUNTIF(P23:R23,PIV!A$12),ETAPP!A$1:A$32,0))&amp;INDEX(ETAPP!B$1:B$32,MATCH(COUNTIF(P23:R23,PIV!A$13),ETAPP!A$1:A$32,0))&amp;INDEX(ETAPP!B$1:B$32,MATCH(COUNTIF(P23:R23,PIV!A$14),ETAPP!A$1:A$32,0))&amp;INDEX(ETAPP!B$1:B$32,MATCH(COUNTIF(P23:R23,PIV!A$15),ETAPP!A$1:A$32,0))&amp;INDEX(ETAPP!B$1:B$32,MATCH(COUNTIF(P23:R23,PIV!A$16),ETAPP!A$1:A$32,0))&amp;INDEX(ETAPP!B$1:B$32,MATCH(COUNTIF(P23:R23,PIV!A$17),ETAPP!A$1:A$32,0))&amp;INDEX(ETAPP!B$1:B$32,MATCH(COUNTIF(P23:R23,PIV!A$18),ETAPP!A$1:A$32,0))&amp;INDEX(ETAPP!B$1:B$32,MATCH(COUNTIF(P23:R23,PIV!A$19),ETAPP!A$1:A$32,0))</f>
        <v>0000A0000000000000B</v>
      </c>
      <c r="K23" s="233" t="str">
        <f t="shared" si="6"/>
        <v>024,0-0000A0000000000000B</v>
      </c>
      <c r="L23" s="234">
        <f t="shared" si="7"/>
        <v>17</v>
      </c>
      <c r="M23" s="234">
        <f t="shared" si="8"/>
        <v>4</v>
      </c>
      <c r="N23" s="233" t="str">
        <f t="shared" si="9"/>
        <v>024,0-0000A0000000000000B-004</v>
      </c>
      <c r="O23" s="235">
        <f t="shared" si="10"/>
        <v>7</v>
      </c>
      <c r="P23" s="236">
        <f>IFERROR(INDEX('1'!C$300:C$400,MATCH("*"&amp;F23&amp;"*",'1'!B$300:B$400,0)),"  ")</f>
        <v>24</v>
      </c>
      <c r="Q23" s="237" t="str">
        <f>IFERROR(INDEX('5'!C$300:C$400,MATCH("*"&amp;F23&amp;"*",'5'!B$300:B$400,0)),"  ")</f>
        <v xml:space="preserve">  </v>
      </c>
      <c r="R23" s="237" t="str">
        <f>IFERROR(INDEX('6'!C$300:C$400,MATCH("*"&amp;F23&amp;"*",'6'!B$300:B$400,0)),"  ")</f>
        <v xml:space="preserve">  </v>
      </c>
      <c r="S23" s="239">
        <f t="shared" si="11"/>
        <v>1</v>
      </c>
      <c r="T23" s="239">
        <f t="shared" si="12"/>
        <v>0</v>
      </c>
      <c r="U23" s="239">
        <f t="shared" si="13"/>
        <v>0</v>
      </c>
      <c r="V23" s="171"/>
    </row>
    <row r="24" spans="1:22" x14ac:dyDescent="0.2">
      <c r="A24" s="225" t="str">
        <f t="shared" si="0"/>
        <v/>
      </c>
      <c r="B24" s="226" t="str">
        <f t="shared" si="1"/>
        <v/>
      </c>
      <c r="C24" s="227" t="str">
        <f t="shared" si="2"/>
        <v/>
      </c>
      <c r="D24" s="228" t="str">
        <f t="shared" si="3"/>
        <v/>
      </c>
      <c r="E24" s="229">
        <f t="shared" si="4"/>
        <v>18</v>
      </c>
      <c r="F24" s="191" t="s">
        <v>117</v>
      </c>
      <c r="G24" s="230"/>
      <c r="H24" s="231"/>
      <c r="I24" s="232">
        <f t="shared" si="5"/>
        <v>20</v>
      </c>
      <c r="J24" s="233" t="str">
        <f>INDEX(ETAPP!B$1:B$32,MATCH(COUNTIF(P24:R24,PIV!A$1),ETAPP!A$1:A$32,0))&amp;INDEX(ETAPP!B$1:B$32,MATCH(COUNTIF(P24:R24,PIV!A$2),ETAPP!A$1:A$32,0))&amp;INDEX(ETAPP!B$1:B$32,MATCH(COUNTIF(P24:R24,PIV!A$3),ETAPP!A$1:A$32,0))&amp;INDEX(ETAPP!B$1:B$32,MATCH(COUNTIF(P24:R24,PIV!A$4),ETAPP!A$1:A$32,0))&amp;INDEX(ETAPP!B$1:B$32,MATCH(COUNTIF(P24:R24,PIV!A$5),ETAPP!A$1:A$32,0))&amp;INDEX(ETAPP!B$1:B$32,MATCH(COUNTIF(P24:R24,PIV!A$6),ETAPP!A$1:A$32,0))&amp;INDEX(ETAPP!B$1:B$32,MATCH(COUNTIF(P24:R24,PIV!A$7),ETAPP!A$1:A$32,0))&amp;INDEX(ETAPP!B$1:B$32,MATCH(COUNTIF(P24:R24,PIV!A$8),ETAPP!A$1:A$32,0))&amp;INDEX(ETAPP!B$1:B$32,MATCH(COUNTIF(P24:R24,PIV!A$9),ETAPP!A$1:A$32,0))&amp;INDEX(ETAPP!B$1:B$32,MATCH(COUNTIF(P24:R24,PIV!A$10),ETAPP!A$1:A$32,0))&amp;INDEX(ETAPP!B$1:B$32,MATCH(COUNTIF(P24:R24,PIV!A$11),ETAPP!A$1:A$32,0))&amp;INDEX(ETAPP!B$1:B$32,MATCH(COUNTIF(P24:R24,PIV!A$12),ETAPP!A$1:A$32,0))&amp;INDEX(ETAPP!B$1:B$32,MATCH(COUNTIF(P24:R24,PIV!A$13),ETAPP!A$1:A$32,0))&amp;INDEX(ETAPP!B$1:B$32,MATCH(COUNTIF(P24:R24,PIV!A$14),ETAPP!A$1:A$32,0))&amp;INDEX(ETAPP!B$1:B$32,MATCH(COUNTIF(P24:R24,PIV!A$15),ETAPP!A$1:A$32,0))&amp;INDEX(ETAPP!B$1:B$32,MATCH(COUNTIF(P24:R24,PIV!A$16),ETAPP!A$1:A$32,0))&amp;INDEX(ETAPP!B$1:B$32,MATCH(COUNTIF(P24:R24,PIV!A$17),ETAPP!A$1:A$32,0))&amp;INDEX(ETAPP!B$1:B$32,MATCH(COUNTIF(P24:R24,PIV!A$18),ETAPP!A$1:A$32,0))&amp;INDEX(ETAPP!B$1:B$32,MATCH(COUNTIF(P24:R24,PIV!A$19),ETAPP!A$1:A$32,0))</f>
        <v>000000A00000000000B</v>
      </c>
      <c r="K24" s="233" t="str">
        <f t="shared" si="6"/>
        <v>020,0-000000A00000000000B</v>
      </c>
      <c r="L24" s="234">
        <f t="shared" si="7"/>
        <v>18</v>
      </c>
      <c r="M24" s="234">
        <f t="shared" si="8"/>
        <v>22</v>
      </c>
      <c r="N24" s="233" t="str">
        <f t="shared" si="9"/>
        <v>020,0-000000A00000000000B-022</v>
      </c>
      <c r="O24" s="235">
        <f t="shared" si="10"/>
        <v>6</v>
      </c>
      <c r="P24" s="236" t="str">
        <f>IFERROR(INDEX('1'!C$300:C$400,MATCH("*"&amp;F24&amp;"*",'1'!B$300:B$400,0)),"  ")</f>
        <v xml:space="preserve">  </v>
      </c>
      <c r="Q24" s="237" t="str">
        <f>IFERROR(INDEX('5'!C$300:C$400,MATCH("*"&amp;F24&amp;"*",'5'!B$300:B$400,0)),"  ")</f>
        <v xml:space="preserve">  </v>
      </c>
      <c r="R24" s="237">
        <f>IFERROR(INDEX('6'!C$300:C$400,MATCH("*"&amp;F24&amp;"*",'6'!B$300:B$400,0)),"  ")</f>
        <v>20</v>
      </c>
      <c r="S24" s="239">
        <f t="shared" si="11"/>
        <v>1</v>
      </c>
      <c r="T24" s="239">
        <f t="shared" si="12"/>
        <v>0</v>
      </c>
      <c r="U24" s="239">
        <f t="shared" si="13"/>
        <v>0</v>
      </c>
      <c r="V24" s="171"/>
    </row>
    <row r="25" spans="1:22" x14ac:dyDescent="0.2">
      <c r="A25" s="225">
        <f t="shared" si="0"/>
        <v>2</v>
      </c>
      <c r="B25" s="226">
        <f t="shared" si="1"/>
        <v>19</v>
      </c>
      <c r="C25" s="227" t="str">
        <f t="shared" si="2"/>
        <v/>
      </c>
      <c r="D25" s="228" t="str">
        <f t="shared" si="3"/>
        <v/>
      </c>
      <c r="E25" s="229">
        <f t="shared" si="4"/>
        <v>19</v>
      </c>
      <c r="F25" s="191" t="s">
        <v>137</v>
      </c>
      <c r="G25" s="230" t="s">
        <v>119</v>
      </c>
      <c r="H25" s="231"/>
      <c r="I25" s="232">
        <f t="shared" si="5"/>
        <v>18</v>
      </c>
      <c r="J25" s="233" t="str">
        <f>INDEX(ETAPP!B$1:B$32,MATCH(COUNTIF(P25:R25,PIV!A$1),ETAPP!A$1:A$32,0))&amp;INDEX(ETAPP!B$1:B$32,MATCH(COUNTIF(P25:R25,PIV!A$2),ETAPP!A$1:A$32,0))&amp;INDEX(ETAPP!B$1:B$32,MATCH(COUNTIF(P25:R25,PIV!A$3),ETAPP!A$1:A$32,0))&amp;INDEX(ETAPP!B$1:B$32,MATCH(COUNTIF(P25:R25,PIV!A$4),ETAPP!A$1:A$32,0))&amp;INDEX(ETAPP!B$1:B$32,MATCH(COUNTIF(P25:R25,PIV!A$5),ETAPP!A$1:A$32,0))&amp;INDEX(ETAPP!B$1:B$32,MATCH(COUNTIF(P25:R25,PIV!A$6),ETAPP!A$1:A$32,0))&amp;INDEX(ETAPP!B$1:B$32,MATCH(COUNTIF(P25:R25,PIV!A$7),ETAPP!A$1:A$32,0))&amp;INDEX(ETAPP!B$1:B$32,MATCH(COUNTIF(P25:R25,PIV!A$8),ETAPP!A$1:A$32,0))&amp;INDEX(ETAPP!B$1:B$32,MATCH(COUNTIF(P25:R25,PIV!A$9),ETAPP!A$1:A$32,0))&amp;INDEX(ETAPP!B$1:B$32,MATCH(COUNTIF(P25:R25,PIV!A$10),ETAPP!A$1:A$32,0))&amp;INDEX(ETAPP!B$1:B$32,MATCH(COUNTIF(P25:R25,PIV!A$11),ETAPP!A$1:A$32,0))&amp;INDEX(ETAPP!B$1:B$32,MATCH(COUNTIF(P25:R25,PIV!A$12),ETAPP!A$1:A$32,0))&amp;INDEX(ETAPP!B$1:B$32,MATCH(COUNTIF(P25:R25,PIV!A$13),ETAPP!A$1:A$32,0))&amp;INDEX(ETAPP!B$1:B$32,MATCH(COUNTIF(P25:R25,PIV!A$14),ETAPP!A$1:A$32,0))&amp;INDEX(ETAPP!B$1:B$32,MATCH(COUNTIF(P25:R25,PIV!A$15),ETAPP!A$1:A$32,0))&amp;INDEX(ETAPP!B$1:B$32,MATCH(COUNTIF(P25:R25,PIV!A$16),ETAPP!A$1:A$32,0))&amp;INDEX(ETAPP!B$1:B$32,MATCH(COUNTIF(P25:R25,PIV!A$17),ETAPP!A$1:A$32,0))&amp;INDEX(ETAPP!B$1:B$32,MATCH(COUNTIF(P25:R25,PIV!A$18),ETAPP!A$1:A$32,0))&amp;INDEX(ETAPP!B$1:B$32,MATCH(COUNTIF(P25:R25,PIV!A$19),ETAPP!A$1:A$32,0))</f>
        <v>0000000A0000000000B</v>
      </c>
      <c r="K25" s="233" t="str">
        <f t="shared" si="6"/>
        <v>018,0-0000000A0000000000B</v>
      </c>
      <c r="L25" s="234">
        <f t="shared" si="7"/>
        <v>19</v>
      </c>
      <c r="M25" s="234">
        <f t="shared" si="8"/>
        <v>11</v>
      </c>
      <c r="N25" s="233" t="str">
        <f t="shared" si="9"/>
        <v>018,0-0000000A0000000000B-011</v>
      </c>
      <c r="O25" s="235">
        <f t="shared" si="10"/>
        <v>5</v>
      </c>
      <c r="P25" s="236" t="str">
        <f>IFERROR(INDEX('1'!C$300:C$400,MATCH("*"&amp;F25&amp;"*",'1'!B$300:B$400,0)),"  ")</f>
        <v xml:space="preserve">  </v>
      </c>
      <c r="Q25" s="237" t="str">
        <f>IFERROR(INDEX('5'!C$300:C$400,MATCH("*"&amp;F25&amp;"*",'5'!B$300:B$400,0)),"  ")</f>
        <v xml:space="preserve">  </v>
      </c>
      <c r="R25" s="237">
        <f>IFERROR(INDEX('6'!C$300:C$400,MATCH("*"&amp;F25&amp;"*",'6'!B$300:B$400,0)),"  ")</f>
        <v>18</v>
      </c>
      <c r="S25" s="239">
        <f t="shared" si="11"/>
        <v>1</v>
      </c>
      <c r="T25" s="239">
        <f t="shared" si="12"/>
        <v>0</v>
      </c>
      <c r="U25" s="239">
        <f t="shared" si="13"/>
        <v>0</v>
      </c>
      <c r="V25" s="171"/>
    </row>
    <row r="26" spans="1:22" x14ac:dyDescent="0.2">
      <c r="A26" s="225" t="str">
        <f t="shared" si="0"/>
        <v/>
      </c>
      <c r="B26" s="226" t="str">
        <f t="shared" si="1"/>
        <v/>
      </c>
      <c r="C26" s="227" t="str">
        <f t="shared" si="2"/>
        <v/>
      </c>
      <c r="D26" s="228" t="str">
        <f t="shared" si="3"/>
        <v/>
      </c>
      <c r="E26" s="229">
        <f t="shared" si="4"/>
        <v>20</v>
      </c>
      <c r="F26" s="245" t="s">
        <v>150</v>
      </c>
      <c r="G26" s="230"/>
      <c r="H26" s="231"/>
      <c r="I26" s="232">
        <f t="shared" si="5"/>
        <v>16</v>
      </c>
      <c r="J26" s="233" t="str">
        <f>INDEX(ETAPP!B$1:B$32,MATCH(COUNTIF(P26:R26,PIV!A$1),ETAPP!A$1:A$32,0))&amp;INDEX(ETAPP!B$1:B$32,MATCH(COUNTIF(P26:R26,PIV!A$2),ETAPP!A$1:A$32,0))&amp;INDEX(ETAPP!B$1:B$32,MATCH(COUNTIF(P26:R26,PIV!A$3),ETAPP!A$1:A$32,0))&amp;INDEX(ETAPP!B$1:B$32,MATCH(COUNTIF(P26:R26,PIV!A$4),ETAPP!A$1:A$32,0))&amp;INDEX(ETAPP!B$1:B$32,MATCH(COUNTIF(P26:R26,PIV!A$5),ETAPP!A$1:A$32,0))&amp;INDEX(ETAPP!B$1:B$32,MATCH(COUNTIF(P26:R26,PIV!A$6),ETAPP!A$1:A$32,0))&amp;INDEX(ETAPP!B$1:B$32,MATCH(COUNTIF(P26:R26,PIV!A$7),ETAPP!A$1:A$32,0))&amp;INDEX(ETAPP!B$1:B$32,MATCH(COUNTIF(P26:R26,PIV!A$8),ETAPP!A$1:A$32,0))&amp;INDEX(ETAPP!B$1:B$32,MATCH(COUNTIF(P26:R26,PIV!A$9),ETAPP!A$1:A$32,0))&amp;INDEX(ETAPP!B$1:B$32,MATCH(COUNTIF(P26:R26,PIV!A$10),ETAPP!A$1:A$32,0))&amp;INDEX(ETAPP!B$1:B$32,MATCH(COUNTIF(P26:R26,PIV!A$11),ETAPP!A$1:A$32,0))&amp;INDEX(ETAPP!B$1:B$32,MATCH(COUNTIF(P26:R26,PIV!A$12),ETAPP!A$1:A$32,0))&amp;INDEX(ETAPP!B$1:B$32,MATCH(COUNTIF(P26:R26,PIV!A$13),ETAPP!A$1:A$32,0))&amp;INDEX(ETAPP!B$1:B$32,MATCH(COUNTIF(P26:R26,PIV!A$14),ETAPP!A$1:A$32,0))&amp;INDEX(ETAPP!B$1:B$32,MATCH(COUNTIF(P26:R26,PIV!A$15),ETAPP!A$1:A$32,0))&amp;INDEX(ETAPP!B$1:B$32,MATCH(COUNTIF(P26:R26,PIV!A$16),ETAPP!A$1:A$32,0))&amp;INDEX(ETAPP!B$1:B$32,MATCH(COUNTIF(P26:R26,PIV!A$17),ETAPP!A$1:A$32,0))&amp;INDEX(ETAPP!B$1:B$32,MATCH(COUNTIF(P26:R26,PIV!A$18),ETAPP!A$1:A$32,0))&amp;INDEX(ETAPP!B$1:B$32,MATCH(COUNTIF(P26:R26,PIV!A$19),ETAPP!A$1:A$32,0))</f>
        <v>00000000A000000000B</v>
      </c>
      <c r="K26" s="233" t="str">
        <f t="shared" si="6"/>
        <v>016,0-00000000A000000000B</v>
      </c>
      <c r="L26" s="234">
        <f t="shared" si="7"/>
        <v>20</v>
      </c>
      <c r="M26" s="234">
        <f t="shared" si="8"/>
        <v>10</v>
      </c>
      <c r="N26" s="233" t="str">
        <f t="shared" si="9"/>
        <v>016,0-00000000A000000000B-010</v>
      </c>
      <c r="O26" s="235">
        <f t="shared" si="10"/>
        <v>4</v>
      </c>
      <c r="P26" s="236" t="str">
        <f>IFERROR(INDEX('1'!C$300:C$400,MATCH("*"&amp;F26&amp;"*",'1'!B$300:B$400,0)),"  ")</f>
        <v xml:space="preserve">  </v>
      </c>
      <c r="Q26" s="237">
        <f>IFERROR(INDEX('5'!C$300:C$400,MATCH("*"&amp;F26&amp;"*",'5'!B$300:B$400,0)),"  ")</f>
        <v>16</v>
      </c>
      <c r="R26" s="237" t="str">
        <f>IFERROR(INDEX('6'!C$300:C$400,MATCH("*"&amp;F26&amp;"*",'6'!B$300:B$400,0)),"  ")</f>
        <v xml:space="preserve">  </v>
      </c>
      <c r="S26" s="239">
        <f t="shared" si="11"/>
        <v>1</v>
      </c>
      <c r="T26" s="239">
        <f t="shared" si="12"/>
        <v>0</v>
      </c>
      <c r="U26" s="239">
        <f t="shared" si="13"/>
        <v>0</v>
      </c>
      <c r="V26" s="171"/>
    </row>
    <row r="27" spans="1:22" x14ac:dyDescent="0.2">
      <c r="A27" s="225" t="str">
        <f t="shared" si="0"/>
        <v/>
      </c>
      <c r="B27" s="226" t="str">
        <f t="shared" si="1"/>
        <v/>
      </c>
      <c r="C27" s="227" t="str">
        <f t="shared" si="2"/>
        <v/>
      </c>
      <c r="D27" s="228" t="str">
        <f t="shared" si="3"/>
        <v/>
      </c>
      <c r="E27" s="229">
        <f t="shared" si="4"/>
        <v>21</v>
      </c>
      <c r="F27" s="242" t="s">
        <v>9</v>
      </c>
      <c r="G27" s="230"/>
      <c r="H27" s="231"/>
      <c r="I27" s="232">
        <f t="shared" si="5"/>
        <v>14</v>
      </c>
      <c r="J27" s="233" t="str">
        <f>INDEX(ETAPP!B$1:B$32,MATCH(COUNTIF(P27:R27,PIV!A$1),ETAPP!A$1:A$32,0))&amp;INDEX(ETAPP!B$1:B$32,MATCH(COUNTIF(P27:R27,PIV!A$2),ETAPP!A$1:A$32,0))&amp;INDEX(ETAPP!B$1:B$32,MATCH(COUNTIF(P27:R27,PIV!A$3),ETAPP!A$1:A$32,0))&amp;INDEX(ETAPP!B$1:B$32,MATCH(COUNTIF(P27:R27,PIV!A$4),ETAPP!A$1:A$32,0))&amp;INDEX(ETAPP!B$1:B$32,MATCH(COUNTIF(P27:R27,PIV!A$5),ETAPP!A$1:A$32,0))&amp;INDEX(ETAPP!B$1:B$32,MATCH(COUNTIF(P27:R27,PIV!A$6),ETAPP!A$1:A$32,0))&amp;INDEX(ETAPP!B$1:B$32,MATCH(COUNTIF(P27:R27,PIV!A$7),ETAPP!A$1:A$32,0))&amp;INDEX(ETAPP!B$1:B$32,MATCH(COUNTIF(P27:R27,PIV!A$8),ETAPP!A$1:A$32,0))&amp;INDEX(ETAPP!B$1:B$32,MATCH(COUNTIF(P27:R27,PIV!A$9),ETAPP!A$1:A$32,0))&amp;INDEX(ETAPP!B$1:B$32,MATCH(COUNTIF(P27:R27,PIV!A$10),ETAPP!A$1:A$32,0))&amp;INDEX(ETAPP!B$1:B$32,MATCH(COUNTIF(P27:R27,PIV!A$11),ETAPP!A$1:A$32,0))&amp;INDEX(ETAPP!B$1:B$32,MATCH(COUNTIF(P27:R27,PIV!A$12),ETAPP!A$1:A$32,0))&amp;INDEX(ETAPP!B$1:B$32,MATCH(COUNTIF(P27:R27,PIV!A$13),ETAPP!A$1:A$32,0))&amp;INDEX(ETAPP!B$1:B$32,MATCH(COUNTIF(P27:R27,PIV!A$14),ETAPP!A$1:A$32,0))&amp;INDEX(ETAPP!B$1:B$32,MATCH(COUNTIF(P27:R27,PIV!A$15),ETAPP!A$1:A$32,0))&amp;INDEX(ETAPP!B$1:B$32,MATCH(COUNTIF(P27:R27,PIV!A$16),ETAPP!A$1:A$32,0))&amp;INDEX(ETAPP!B$1:B$32,MATCH(COUNTIF(P27:R27,PIV!A$17),ETAPP!A$1:A$32,0))&amp;INDEX(ETAPP!B$1:B$32,MATCH(COUNTIF(P27:R27,PIV!A$18),ETAPP!A$1:A$32,0))&amp;INDEX(ETAPP!B$1:B$32,MATCH(COUNTIF(P27:R27,PIV!A$19),ETAPP!A$1:A$32,0))</f>
        <v>000000000A00000000B</v>
      </c>
      <c r="K27" s="233" t="str">
        <f t="shared" si="6"/>
        <v>014,0-000000000A00000000B</v>
      </c>
      <c r="L27" s="234">
        <f t="shared" si="7"/>
        <v>21</v>
      </c>
      <c r="M27" s="234">
        <f t="shared" si="8"/>
        <v>14</v>
      </c>
      <c r="N27" s="233" t="str">
        <f t="shared" si="9"/>
        <v>014,0-000000000A00000000B-014</v>
      </c>
      <c r="O27" s="235">
        <f t="shared" si="10"/>
        <v>3</v>
      </c>
      <c r="P27" s="236" t="str">
        <f>IFERROR(INDEX('1'!C$300:C$400,MATCH("*"&amp;F27&amp;"*",'1'!B$300:B$400,0)),"  ")</f>
        <v xml:space="preserve">  </v>
      </c>
      <c r="Q27" s="237">
        <f>IFERROR(INDEX('5'!C$300:C$400,MATCH("*"&amp;F27&amp;"*",'5'!B$300:B$400,0)),"  ")</f>
        <v>14</v>
      </c>
      <c r="R27" s="237" t="str">
        <f>IFERROR(INDEX('6'!C$300:C$400,MATCH("*"&amp;F27&amp;"*",'6'!B$300:B$400,0)),"  ")</f>
        <v xml:space="preserve">  </v>
      </c>
      <c r="S27" s="239">
        <f t="shared" si="11"/>
        <v>1</v>
      </c>
      <c r="T27" s="239">
        <f t="shared" si="12"/>
        <v>0</v>
      </c>
      <c r="U27" s="239">
        <f t="shared" si="13"/>
        <v>0</v>
      </c>
      <c r="V27" s="171"/>
    </row>
    <row r="28" spans="1:22" x14ac:dyDescent="0.2">
      <c r="A28" s="225" t="str">
        <f t="shared" si="0"/>
        <v/>
      </c>
      <c r="B28" s="226" t="str">
        <f t="shared" si="1"/>
        <v/>
      </c>
      <c r="C28" s="227" t="str">
        <f t="shared" si="2"/>
        <v/>
      </c>
      <c r="D28" s="228" t="str">
        <f t="shared" si="3"/>
        <v/>
      </c>
      <c r="E28" s="229">
        <f t="shared" si="4"/>
        <v>22</v>
      </c>
      <c r="F28" s="191" t="s">
        <v>138</v>
      </c>
      <c r="G28" s="230"/>
      <c r="H28" s="231"/>
      <c r="I28" s="232">
        <f t="shared" si="5"/>
        <v>10</v>
      </c>
      <c r="J28" s="233" t="str">
        <f>INDEX(ETAPP!B$1:B$32,MATCH(COUNTIF(P28:R28,PIV!A$1),ETAPP!A$1:A$32,0))&amp;INDEX(ETAPP!B$1:B$32,MATCH(COUNTIF(P28:R28,PIV!A$2),ETAPP!A$1:A$32,0))&amp;INDEX(ETAPP!B$1:B$32,MATCH(COUNTIF(P28:R28,PIV!A$3),ETAPP!A$1:A$32,0))&amp;INDEX(ETAPP!B$1:B$32,MATCH(COUNTIF(P28:R28,PIV!A$4),ETAPP!A$1:A$32,0))&amp;INDEX(ETAPP!B$1:B$32,MATCH(COUNTIF(P28:R28,PIV!A$5),ETAPP!A$1:A$32,0))&amp;INDEX(ETAPP!B$1:B$32,MATCH(COUNTIF(P28:R28,PIV!A$6),ETAPP!A$1:A$32,0))&amp;INDEX(ETAPP!B$1:B$32,MATCH(COUNTIF(P28:R28,PIV!A$7),ETAPP!A$1:A$32,0))&amp;INDEX(ETAPP!B$1:B$32,MATCH(COUNTIF(P28:R28,PIV!A$8),ETAPP!A$1:A$32,0))&amp;INDEX(ETAPP!B$1:B$32,MATCH(COUNTIF(P28:R28,PIV!A$9),ETAPP!A$1:A$32,0))&amp;INDEX(ETAPP!B$1:B$32,MATCH(COUNTIF(P28:R28,PIV!A$10),ETAPP!A$1:A$32,0))&amp;INDEX(ETAPP!B$1:B$32,MATCH(COUNTIF(P28:R28,PIV!A$11),ETAPP!A$1:A$32,0))&amp;INDEX(ETAPP!B$1:B$32,MATCH(COUNTIF(P28:R28,PIV!A$12),ETAPP!A$1:A$32,0))&amp;INDEX(ETAPP!B$1:B$32,MATCH(COUNTIF(P28:R28,PIV!A$13),ETAPP!A$1:A$32,0))&amp;INDEX(ETAPP!B$1:B$32,MATCH(COUNTIF(P28:R28,PIV!A$14),ETAPP!A$1:A$32,0))&amp;INDEX(ETAPP!B$1:B$32,MATCH(COUNTIF(P28:R28,PIV!A$15),ETAPP!A$1:A$32,0))&amp;INDEX(ETAPP!B$1:B$32,MATCH(COUNTIF(P28:R28,PIV!A$16),ETAPP!A$1:A$32,0))&amp;INDEX(ETAPP!B$1:B$32,MATCH(COUNTIF(P28:R28,PIV!A$17),ETAPP!A$1:A$32,0))&amp;INDEX(ETAPP!B$1:B$32,MATCH(COUNTIF(P28:R28,PIV!A$18),ETAPP!A$1:A$32,0))&amp;INDEX(ETAPP!B$1:B$32,MATCH(COUNTIF(P28:R28,PIV!A$19),ETAPP!A$1:A$32,0))</f>
        <v>00000000000A000000B</v>
      </c>
      <c r="K28" s="233" t="str">
        <f t="shared" si="6"/>
        <v>010,0-00000000000A000000B</v>
      </c>
      <c r="L28" s="234">
        <f t="shared" si="7"/>
        <v>22</v>
      </c>
      <c r="M28" s="234">
        <f t="shared" si="8"/>
        <v>2</v>
      </c>
      <c r="N28" s="233" t="str">
        <f t="shared" si="9"/>
        <v>010,0-00000000000A000000B-002</v>
      </c>
      <c r="O28" s="235">
        <f t="shared" si="10"/>
        <v>2</v>
      </c>
      <c r="P28" s="236" t="str">
        <f>IFERROR(INDEX('1'!C$300:C$400,MATCH("*"&amp;F28&amp;"*",'1'!B$300:B$400,0)),"  ")</f>
        <v xml:space="preserve">  </v>
      </c>
      <c r="Q28" s="237" t="str">
        <f>IFERROR(INDEX('5'!C$300:C$400,MATCH("*"&amp;F28&amp;"*",'5'!B$300:B$400,0)),"  ")</f>
        <v xml:space="preserve">  </v>
      </c>
      <c r="R28" s="237">
        <f>IFERROR(INDEX('6'!C$300:C$400,MATCH("*"&amp;F28&amp;"*",'6'!B$300:B$400,0)),"  ")</f>
        <v>10</v>
      </c>
      <c r="S28" s="239">
        <f t="shared" si="11"/>
        <v>1</v>
      </c>
      <c r="T28" s="239">
        <f t="shared" si="12"/>
        <v>0</v>
      </c>
      <c r="U28" s="239">
        <f t="shared" si="13"/>
        <v>0</v>
      </c>
      <c r="V28" s="171"/>
    </row>
    <row r="29" spans="1:22" x14ac:dyDescent="0.2">
      <c r="A29" s="225" t="str">
        <f t="shared" si="0"/>
        <v/>
      </c>
      <c r="B29" s="226" t="str">
        <f t="shared" si="1"/>
        <v/>
      </c>
      <c r="C29" s="227" t="str">
        <f t="shared" si="2"/>
        <v/>
      </c>
      <c r="D29" s="228" t="str">
        <f t="shared" si="3"/>
        <v/>
      </c>
      <c r="E29" s="229">
        <f t="shared" si="4"/>
        <v>23</v>
      </c>
      <c r="F29" s="242" t="s">
        <v>149</v>
      </c>
      <c r="G29" s="230"/>
      <c r="H29" s="231"/>
      <c r="I29" s="232">
        <f t="shared" si="5"/>
        <v>1</v>
      </c>
      <c r="J29" s="233" t="str">
        <f>INDEX(ETAPP!B$1:B$32,MATCH(COUNTIF(P29:R29,PIV!A$1),ETAPP!A$1:A$32,0))&amp;INDEX(ETAPP!B$1:B$32,MATCH(COUNTIF(P29:R29,PIV!A$2),ETAPP!A$1:A$32,0))&amp;INDEX(ETAPP!B$1:B$32,MATCH(COUNTIF(P29:R29,PIV!A$3),ETAPP!A$1:A$32,0))&amp;INDEX(ETAPP!B$1:B$32,MATCH(COUNTIF(P29:R29,PIV!A$4),ETAPP!A$1:A$32,0))&amp;INDEX(ETAPP!B$1:B$32,MATCH(COUNTIF(P29:R29,PIV!A$5),ETAPP!A$1:A$32,0))&amp;INDEX(ETAPP!B$1:B$32,MATCH(COUNTIF(P29:R29,PIV!A$6),ETAPP!A$1:A$32,0))&amp;INDEX(ETAPP!B$1:B$32,MATCH(COUNTIF(P29:R29,PIV!A$7),ETAPP!A$1:A$32,0))&amp;INDEX(ETAPP!B$1:B$32,MATCH(COUNTIF(P29:R29,PIV!A$8),ETAPP!A$1:A$32,0))&amp;INDEX(ETAPP!B$1:B$32,MATCH(COUNTIF(P29:R29,PIV!A$9),ETAPP!A$1:A$32,0))&amp;INDEX(ETAPP!B$1:B$32,MATCH(COUNTIF(P29:R29,PIV!A$10),ETAPP!A$1:A$32,0))&amp;INDEX(ETAPP!B$1:B$32,MATCH(COUNTIF(P29:R29,PIV!A$11),ETAPP!A$1:A$32,0))&amp;INDEX(ETAPP!B$1:B$32,MATCH(COUNTIF(P29:R29,PIV!A$12),ETAPP!A$1:A$32,0))&amp;INDEX(ETAPP!B$1:B$32,MATCH(COUNTIF(P29:R29,PIV!A$13),ETAPP!A$1:A$32,0))&amp;INDEX(ETAPP!B$1:B$32,MATCH(COUNTIF(P29:R29,PIV!A$14),ETAPP!A$1:A$32,0))&amp;INDEX(ETAPP!B$1:B$32,MATCH(COUNTIF(P29:R29,PIV!A$15),ETAPP!A$1:A$32,0))&amp;INDEX(ETAPP!B$1:B$32,MATCH(COUNTIF(P29:R29,PIV!A$16),ETAPP!A$1:A$32,0))&amp;INDEX(ETAPP!B$1:B$32,MATCH(COUNTIF(P29:R29,PIV!A$17),ETAPP!A$1:A$32,0))&amp;INDEX(ETAPP!B$1:B$32,MATCH(COUNTIF(P29:R29,PIV!A$18),ETAPP!A$1:A$32,0))&amp;INDEX(ETAPP!B$1:B$32,MATCH(COUNTIF(P29:R29,PIV!A$19),ETAPP!A$1:A$32,0))</f>
        <v>0000000000000000A0B</v>
      </c>
      <c r="K29" s="233" t="str">
        <f t="shared" si="6"/>
        <v>001,0-0000000000000000A0B</v>
      </c>
      <c r="L29" s="234">
        <f t="shared" si="7"/>
        <v>23</v>
      </c>
      <c r="M29" s="234">
        <f t="shared" si="8"/>
        <v>3</v>
      </c>
      <c r="N29" s="233" t="str">
        <f t="shared" si="9"/>
        <v>001,0-0000000000000000A0B-003</v>
      </c>
      <c r="O29" s="235">
        <f t="shared" si="10"/>
        <v>1</v>
      </c>
      <c r="P29" s="236" t="str">
        <f>IFERROR(INDEX('1'!C$300:C$400,MATCH("*"&amp;F29&amp;"*",'1'!B$300:B$400,0)),"  ")</f>
        <v xml:space="preserve">  </v>
      </c>
      <c r="Q29" s="237" t="str">
        <f>IFERROR(INDEX('5'!C$300:C$400,MATCH("*"&amp;F29&amp;"*",'5'!B$300:B$400,0)),"  ")</f>
        <v xml:space="preserve">  </v>
      </c>
      <c r="R29" s="237">
        <f>IFERROR(INDEX('6'!C$300:C$400,MATCH("*"&amp;F29&amp;"*",'6'!B$300:B$400,0)),"  ")</f>
        <v>1</v>
      </c>
      <c r="S29" s="239">
        <f t="shared" si="11"/>
        <v>1</v>
      </c>
      <c r="T29" s="239">
        <f t="shared" si="12"/>
        <v>0</v>
      </c>
      <c r="U29" s="239">
        <f t="shared" si="13"/>
        <v>0</v>
      </c>
      <c r="V29" s="171"/>
    </row>
    <row r="30" spans="1:22" x14ac:dyDescent="0.2">
      <c r="A30" s="253">
        <f>COUNT(A7:A29)</f>
        <v>2</v>
      </c>
      <c r="B30" s="253"/>
      <c r="C30" s="254">
        <f>COUNT(C7:C29)</f>
        <v>0</v>
      </c>
      <c r="D30" s="254"/>
      <c r="E30" s="255">
        <f>COUNT(E7:E29)</f>
        <v>23</v>
      </c>
      <c r="F30" s="256" t="s">
        <v>159</v>
      </c>
      <c r="G30" s="172"/>
      <c r="H30" s="172"/>
      <c r="I30" s="257"/>
      <c r="J30" s="257"/>
      <c r="K30" s="257"/>
      <c r="L30" s="257"/>
      <c r="M30" s="257"/>
      <c r="N30" s="257"/>
      <c r="O30" s="257"/>
      <c r="P30" s="258">
        <f>COUNTIF(P7:P29,"&gt;=0")</f>
        <v>16</v>
      </c>
      <c r="Q30" s="258">
        <f>COUNTIF(Q7:Q29,"&gt;=0")</f>
        <v>16</v>
      </c>
      <c r="R30" s="258">
        <f>COUNTIF(R7:R29,"&gt;=0")</f>
        <v>15</v>
      </c>
      <c r="S30" s="172"/>
      <c r="T30" s="259">
        <f>SUM(T7:T29)</f>
        <v>13</v>
      </c>
      <c r="U30" s="259">
        <f>SUM(U7:U29)</f>
        <v>5</v>
      </c>
      <c r="V30" s="171"/>
    </row>
    <row r="31" spans="1:22" x14ac:dyDescent="0.2">
      <c r="A31" s="172"/>
      <c r="B31" s="172"/>
      <c r="C31" s="260"/>
      <c r="D31" s="260"/>
      <c r="E31" s="172"/>
      <c r="F31" s="256" t="s">
        <v>160</v>
      </c>
      <c r="G31" s="172"/>
      <c r="H31" s="172"/>
      <c r="I31" s="257"/>
      <c r="J31" s="257"/>
      <c r="K31" s="257"/>
      <c r="L31" s="257"/>
      <c r="M31" s="257"/>
      <c r="N31" s="257"/>
      <c r="O31" s="257"/>
      <c r="P31" s="261">
        <f>IF((P30/(LEN(P5)-LEN(SUBSTITUTE(P5,"*","")))-0.5)&lt;0,"",P30/(LEN(P5)-LEN(SUBSTITUTE(P5,"*","")))-0.5)</f>
        <v>4.833333333333333</v>
      </c>
      <c r="Q31" s="261">
        <f>IF((Q30/(LEN(Q5)-LEN(SUBSTITUTE(Q5,"*","")))-0.5)&lt;0,"",Q30/(LEN(Q5)-LEN(SUBSTITUTE(Q5,"*","")))-0.5)</f>
        <v>7.5</v>
      </c>
      <c r="R31" s="261"/>
      <c r="S31" s="172"/>
      <c r="T31" s="172"/>
      <c r="U31" s="172"/>
      <c r="V31" s="171"/>
    </row>
    <row r="32" spans="1:22" x14ac:dyDescent="0.2">
      <c r="A32" s="171"/>
      <c r="B32" s="171"/>
      <c r="C32" s="179"/>
      <c r="D32" s="179"/>
      <c r="E32" s="171"/>
      <c r="F32" s="171"/>
      <c r="G32" s="171"/>
      <c r="H32" s="171"/>
      <c r="I32" s="251"/>
      <c r="J32" s="251"/>
      <c r="K32" s="251"/>
      <c r="L32" s="251"/>
      <c r="M32" s="251"/>
      <c r="N32" s="251"/>
      <c r="O32" s="251"/>
      <c r="P32" s="179"/>
      <c r="Q32" s="179"/>
      <c r="R32" s="179"/>
      <c r="S32" s="171"/>
      <c r="T32" s="171"/>
      <c r="U32" s="171"/>
      <c r="V32" s="171"/>
    </row>
    <row r="33" spans="1:4" x14ac:dyDescent="0.2">
      <c r="A33" s="179"/>
      <c r="B33" s="179"/>
      <c r="C33" s="171"/>
      <c r="D33" s="171"/>
    </row>
    <row r="34" spans="1:4" x14ac:dyDescent="0.2">
      <c r="A34" s="179"/>
      <c r="B34" s="179"/>
      <c r="C34" s="171"/>
      <c r="D34" s="171"/>
    </row>
    <row r="35" spans="1:4" x14ac:dyDescent="0.2">
      <c r="A35" s="179"/>
      <c r="B35" s="179"/>
      <c r="C35" s="171"/>
      <c r="D35" s="171"/>
    </row>
    <row r="36" spans="1:4" x14ac:dyDescent="0.2">
      <c r="A36" s="179"/>
      <c r="B36" s="179"/>
      <c r="C36" s="171"/>
      <c r="D36" s="171"/>
    </row>
    <row r="37" spans="1:4" x14ac:dyDescent="0.2">
      <c r="A37" s="179"/>
      <c r="B37" s="179"/>
      <c r="C37" s="171"/>
      <c r="D37" s="171"/>
    </row>
    <row r="38" spans="1:4" x14ac:dyDescent="0.2">
      <c r="A38" s="171"/>
      <c r="B38" s="171"/>
      <c r="C38" s="179"/>
      <c r="D38" s="179"/>
    </row>
    <row r="39" spans="1:4" x14ac:dyDescent="0.2">
      <c r="A39" s="171"/>
      <c r="B39" s="171"/>
      <c r="C39" s="179"/>
      <c r="D39" s="179"/>
    </row>
    <row r="40" spans="1:4" x14ac:dyDescent="0.2">
      <c r="A40" s="171"/>
      <c r="B40" s="171"/>
      <c r="C40" s="179"/>
      <c r="D40" s="179"/>
    </row>
    <row r="41" spans="1:4" x14ac:dyDescent="0.2">
      <c r="A41" s="171"/>
      <c r="B41" s="171"/>
      <c r="C41" s="179"/>
      <c r="D41" s="179"/>
    </row>
    <row r="42" spans="1:4" x14ac:dyDescent="0.2">
      <c r="A42" s="171"/>
      <c r="B42" s="171"/>
      <c r="C42" s="179"/>
      <c r="D42" s="179"/>
    </row>
    <row r="43" spans="1:4" x14ac:dyDescent="0.2">
      <c r="A43" s="171"/>
      <c r="B43" s="171"/>
      <c r="C43" s="179"/>
      <c r="D43" s="179"/>
    </row>
    <row r="44" spans="1:4" x14ac:dyDescent="0.2">
      <c r="A44" s="171"/>
      <c r="B44" s="171"/>
      <c r="C44" s="179"/>
      <c r="D44" s="179"/>
    </row>
    <row r="45" spans="1:4" x14ac:dyDescent="0.2">
      <c r="A45" s="171"/>
      <c r="B45" s="171"/>
      <c r="C45" s="179"/>
      <c r="D45" s="179"/>
    </row>
    <row r="46" spans="1:4" x14ac:dyDescent="0.2">
      <c r="A46" s="171"/>
      <c r="B46" s="171"/>
      <c r="C46" s="179"/>
      <c r="D46" s="179"/>
    </row>
    <row r="47" spans="1:4" x14ac:dyDescent="0.2">
      <c r="A47" s="171"/>
      <c r="B47" s="171"/>
      <c r="C47" s="179"/>
      <c r="D47" s="179"/>
    </row>
    <row r="48" spans="1:4" x14ac:dyDescent="0.2">
      <c r="A48" s="171"/>
      <c r="B48" s="171"/>
      <c r="C48" s="179"/>
      <c r="D48" s="179"/>
    </row>
    <row r="49" spans="1:21" x14ac:dyDescent="0.2">
      <c r="A49" s="171"/>
      <c r="B49" s="171"/>
      <c r="C49" s="179"/>
      <c r="D49" s="179"/>
    </row>
    <row r="50" spans="1:21" x14ac:dyDescent="0.2">
      <c r="A50" s="171"/>
      <c r="B50" s="171"/>
      <c r="C50" s="179"/>
      <c r="D50" s="179"/>
      <c r="E50" s="171"/>
      <c r="F50" s="171"/>
      <c r="G50" s="171"/>
      <c r="H50" s="171"/>
      <c r="I50" s="251"/>
      <c r="J50" s="251"/>
      <c r="K50" s="251"/>
      <c r="L50" s="251"/>
      <c r="M50" s="251"/>
      <c r="N50" s="251"/>
      <c r="O50" s="251"/>
      <c r="P50" s="179"/>
      <c r="Q50" s="179"/>
      <c r="R50" s="179"/>
      <c r="S50" s="171"/>
      <c r="T50" s="171"/>
      <c r="U50" s="171"/>
    </row>
    <row r="51" spans="1:21" x14ac:dyDescent="0.2">
      <c r="A51" s="171"/>
      <c r="B51" s="171"/>
      <c r="C51" s="179"/>
      <c r="D51" s="179"/>
      <c r="E51" s="171"/>
      <c r="F51" s="171"/>
      <c r="G51" s="171"/>
      <c r="H51" s="171"/>
      <c r="I51" s="251"/>
      <c r="J51" s="251"/>
      <c r="K51" s="251"/>
      <c r="L51" s="251"/>
      <c r="M51" s="251"/>
      <c r="N51" s="251"/>
      <c r="O51" s="251"/>
      <c r="P51" s="179"/>
      <c r="Q51" s="179"/>
      <c r="R51" s="179"/>
      <c r="S51" s="171"/>
      <c r="T51" s="171"/>
      <c r="U51" s="171"/>
    </row>
    <row r="52" spans="1:21" x14ac:dyDescent="0.2">
      <c r="A52" s="171"/>
      <c r="B52" s="171"/>
      <c r="C52" s="179"/>
      <c r="D52" s="179"/>
      <c r="E52" s="171"/>
      <c r="F52" s="171"/>
      <c r="G52" s="171"/>
      <c r="H52" s="171"/>
      <c r="I52" s="251"/>
      <c r="J52" s="251"/>
      <c r="K52" s="251"/>
      <c r="L52" s="251"/>
      <c r="M52" s="251"/>
      <c r="N52" s="251"/>
      <c r="O52" s="251"/>
      <c r="P52" s="179"/>
      <c r="Q52" s="179"/>
      <c r="R52" s="179"/>
      <c r="S52" s="171"/>
      <c r="T52" s="171"/>
      <c r="U52" s="171"/>
    </row>
  </sheetData>
  <autoFilter ref="S6:U6"/>
  <sortState ref="A6:U41">
    <sortCondition descending="1" ref="O6:O41"/>
  </sortState>
  <mergeCells count="3">
    <mergeCell ref="S4:S5"/>
    <mergeCell ref="T4:T5"/>
    <mergeCell ref="U4:U5"/>
  </mergeCells>
  <conditionalFormatting sqref="P30:R30">
    <cfRule type="top10" dxfId="2177" priority="6" stopIfTrue="1" rank="1"/>
  </conditionalFormatting>
  <conditionalFormatting sqref="T7:T29">
    <cfRule type="top10" dxfId="2176" priority="946" stopIfTrue="1" rank="1"/>
  </conditionalFormatting>
  <conditionalFormatting sqref="U7:U29">
    <cfRule type="top10" dxfId="2175" priority="947" stopIfTrue="1" rank="1"/>
  </conditionalFormatting>
  <conditionalFormatting sqref="S7:S29">
    <cfRule type="top10" dxfId="2174" priority="948" stopIfTrue="1" rank="1"/>
  </conditionalFormatting>
  <conditionalFormatting sqref="E7:E29">
    <cfRule type="expression" dxfId="2173" priority="949">
      <formula>I7=0</formula>
    </cfRule>
    <cfRule type="duplicateValues" dxfId="2172" priority="950" stopIfTrue="1"/>
  </conditionalFormatting>
  <conditionalFormatting sqref="I7:I29">
    <cfRule type="duplicateValues" dxfId="2171" priority="951" stopIfTrue="1"/>
  </conditionalFormatting>
  <conditionalFormatting sqref="A7:A29">
    <cfRule type="expression" dxfId="2170" priority="952">
      <formula>AND(A7=SMALL(A$7:A$29,1),COUNT($R$7:$R$29)&gt;0)</formula>
    </cfRule>
    <cfRule type="expression" dxfId="2169" priority="953">
      <formula>I7=0</formula>
    </cfRule>
    <cfRule type="duplicateValues" dxfId="2168" priority="954"/>
  </conditionalFormatting>
  <conditionalFormatting sqref="C7:C29">
    <cfRule type="expression" dxfId="2167" priority="961">
      <formula>AND(C7=SMALL(C$7:C$29,1),COUNT($R$7:$R$29)&gt;0)</formula>
    </cfRule>
    <cfRule type="expression" dxfId="2166" priority="962">
      <formula>I7=0</formula>
    </cfRule>
    <cfRule type="duplicateValues" dxfId="2165" priority="963"/>
  </conditionalFormatting>
  <conditionalFormatting sqref="F7:F29">
    <cfRule type="expression" dxfId="2164" priority="970">
      <formula>AND(E7=SMALL(E$7:E$29,3),COUNT($R$7:$R$29)&gt;0)</formula>
    </cfRule>
    <cfRule type="expression" dxfId="2163" priority="971">
      <formula>AND(E7=SMALL(E$7:E$29,2),COUNT($R$7:$R$29)&gt;0)</formula>
    </cfRule>
    <cfRule type="expression" dxfId="2162" priority="972">
      <formula>AND(E7=SMALL(E$7:E$29,1),COUNT($R$7:$R$29)&gt;0)</formula>
    </cfRule>
    <cfRule type="expression" dxfId="2161" priority="973">
      <formula>H7="j"</formula>
    </cfRule>
    <cfRule type="expression" dxfId="2160" priority="974">
      <formula>G7="n"</formula>
    </cfRule>
    <cfRule type="duplicateValues" dxfId="2159" priority="975" stopIfTrue="1"/>
  </conditionalFormatting>
  <conditionalFormatting sqref="P7:R29">
    <cfRule type="expression" dxfId="2158" priority="976" stopIfTrue="1">
      <formula>COUNTIF(P$7:P$33,"&gt;0")=0</formula>
    </cfRule>
    <cfRule type="expression" dxfId="2157" priority="977">
      <formula>IF(P7="  ",FALSE,P7)+P$6/10000=#REF!</formula>
    </cfRule>
    <cfRule type="expression" dxfId="2156" priority="978">
      <formula>IF(P7="  ",FALSE,P7)+P$6/10000=#REF!</formula>
    </cfRule>
    <cfRule type="expression" dxfId="2155" priority="979">
      <formula>IF(P7="  ",FALSE,P7)+P$6/10000=#REF!</formula>
    </cfRule>
    <cfRule type="expression" dxfId="2154" priority="980">
      <formula>IF(P7="  ",FALSE,P7)+P$6/10000=#REF!</formula>
    </cfRule>
    <cfRule type="cellIs" dxfId="2153" priority="981" operator="equal">
      <formula>30</formula>
    </cfRule>
    <cfRule type="cellIs" dxfId="2152" priority="982" operator="equal">
      <formula>34</formula>
    </cfRule>
    <cfRule type="cellIs" dxfId="2151" priority="983" operator="equal">
      <formula>40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Kalend</vt:lpstr>
      <vt:lpstr>Kal E</vt:lpstr>
      <vt:lpstr>Reit</vt:lpstr>
      <vt:lpstr>1</vt:lpstr>
      <vt:lpstr>2</vt:lpstr>
      <vt:lpstr>3</vt:lpstr>
      <vt:lpstr>4</vt:lpstr>
      <vt:lpstr>5</vt:lpstr>
      <vt:lpstr>KJ</vt:lpstr>
      <vt:lpstr>6</vt:lpstr>
      <vt:lpstr>7</vt:lpstr>
      <vt:lpstr>8</vt:lpstr>
      <vt:lpstr>9</vt:lpstr>
      <vt:lpstr>10</vt:lpstr>
      <vt:lpstr>11</vt:lpstr>
      <vt:lpstr>12</vt:lpstr>
      <vt:lpstr>13</vt:lpstr>
      <vt:lpstr>V</vt:lpstr>
      <vt:lpstr>V1</vt:lpstr>
      <vt:lpstr>V2</vt:lpstr>
      <vt:lpstr>V3</vt:lpstr>
      <vt:lpstr>V4</vt:lpstr>
      <vt:lpstr>V5</vt:lpstr>
      <vt:lpstr>V6</vt:lpstr>
      <vt:lpstr>V7</vt:lpstr>
      <vt:lpstr>V8</vt:lpstr>
      <vt:lpstr>V9</vt:lpstr>
      <vt:lpstr>V10</vt:lpstr>
      <vt:lpstr>v-d</vt:lpstr>
      <vt:lpstr>v-t</vt:lpstr>
      <vt:lpstr>v-ü</vt:lpstr>
      <vt:lpstr>templ</vt:lpstr>
      <vt:lpstr>swiss-v</vt:lpstr>
      <vt:lpstr>swiss-k</vt:lpstr>
      <vt:lpstr>ETAPP</vt:lpstr>
      <vt:lpstr>PIV</vt:lpstr>
      <vt:lpstr>PVO</vt:lpstr>
      <vt:lpstr>V!Print_Area</vt:lpstr>
      <vt:lpstr>'Kal E'!Print_Titles</vt:lpstr>
      <vt:lpstr>Kalend!Print_Titles</vt:lpstr>
      <vt:lpstr>Reit!Print_Titles</vt:lpstr>
      <vt:lpstr>V!Print_Titles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Martin</cp:lastModifiedBy>
  <cp:lastPrinted>2022-02-03T18:18:26Z</cp:lastPrinted>
  <dcterms:created xsi:type="dcterms:W3CDTF">2019-10-02T19:18:01Z</dcterms:created>
  <dcterms:modified xsi:type="dcterms:W3CDTF">2023-03-01T11:35:35Z</dcterms:modified>
</cp:coreProperties>
</file>