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826" activeTab="1"/>
  </bookViews>
  <sheets>
    <sheet name="Kalend" sheetId="8" r:id="rId1"/>
    <sheet name="Kal E" sheetId="7" r:id="rId2"/>
    <sheet name="V" sheetId="16" r:id="rId3"/>
    <sheet name="V1" sheetId="82" r:id="rId4"/>
    <sheet name="V2" sheetId="55" r:id="rId5"/>
    <sheet name="V3" sheetId="57" r:id="rId6"/>
    <sheet name="iv-d" sheetId="85" r:id="rId7"/>
    <sheet name="V4" sheetId="83" r:id="rId8"/>
    <sheet name="V5" sheetId="86" r:id="rId9"/>
    <sheet name="V6" sheetId="87" r:id="rId10"/>
    <sheet name="V7" sheetId="88" r:id="rId11"/>
    <sheet name="V8" sheetId="89" r:id="rId12"/>
    <sheet name="V9" sheetId="90" r:id="rId13"/>
    <sheet name="V10" sheetId="91" r:id="rId14"/>
    <sheet name="ETAPP" sheetId="5" state="hidden" r:id="rId15"/>
  </sheets>
  <definedNames>
    <definedName name="_xlnm._FilterDatabase" localSheetId="2" hidden="1">V!$A$5:$I$54</definedName>
    <definedName name="_xlnm.Print_Titles" localSheetId="6">'iv-d'!$1:$2</definedName>
    <definedName name="_xlnm.Print_Titles" localSheetId="1">'Kal E'!$1:$3</definedName>
    <definedName name="_xlnm.Print_Titles" localSheetId="0">Kalend!$1:$2</definedName>
    <definedName name="_xlnm.Print_Titles" localSheetId="2">V!$1:$6</definedName>
    <definedName name="_xlnm.Print_Titles" localSheetId="3">'V1'!$1:$2</definedName>
    <definedName name="_xlnm.Print_Titles" localSheetId="13">'V10'!$1:$2</definedName>
    <definedName name="_xlnm.Print_Titles" localSheetId="4">'V2'!$1:$2</definedName>
    <definedName name="_xlnm.Print_Titles" localSheetId="5">'V3'!$1:$2</definedName>
    <definedName name="_xlnm.Print_Titles" localSheetId="7">'V4'!$1:$2</definedName>
    <definedName name="_xlnm.Print_Titles" localSheetId="8">'V5'!$1:$2</definedName>
    <definedName name="_xlnm.Print_Titles" localSheetId="9">'V6'!$1:$2</definedName>
    <definedName name="_xlnm.Print_Titles" localSheetId="10">'V7'!$1:$2</definedName>
    <definedName name="_xlnm.Print_Titles" localSheetId="11">'V8'!$1:$2</definedName>
    <definedName name="_xlnm.Print_Titles" localSheetId="12">'V9'!$1:$2</definedName>
  </definedNames>
  <calcPr calcId="145621"/>
</workbook>
</file>

<file path=xl/calcChain.xml><?xml version="1.0" encoding="utf-8"?>
<calcChain xmlns="http://schemas.openxmlformats.org/spreadsheetml/2006/main">
  <c r="M52" i="7" l="1"/>
  <c r="H129" i="91" l="1"/>
  <c r="H124" i="91" l="1"/>
  <c r="H123" i="91"/>
  <c r="AI9" i="16"/>
  <c r="AI11" i="16"/>
  <c r="AI12" i="16"/>
  <c r="AI7" i="16"/>
  <c r="AI13" i="16"/>
  <c r="AI10" i="16"/>
  <c r="AI14" i="16"/>
  <c r="AI17" i="16"/>
  <c r="AI18" i="16"/>
  <c r="AI19" i="16"/>
  <c r="AI22" i="16"/>
  <c r="AI20" i="16"/>
  <c r="AI21" i="16"/>
  <c r="AI23" i="16"/>
  <c r="AI24" i="16"/>
  <c r="AI25" i="16"/>
  <c r="AI26" i="16"/>
  <c r="AI30" i="16"/>
  <c r="AI31" i="16"/>
  <c r="AI29" i="16"/>
  <c r="AI32" i="16"/>
  <c r="AI33" i="16"/>
  <c r="AI27" i="16"/>
  <c r="AI34" i="16"/>
  <c r="AI35" i="16"/>
  <c r="AI37" i="16"/>
  <c r="AI38" i="16"/>
  <c r="AI39" i="16"/>
  <c r="AI36" i="16"/>
  <c r="AI40" i="16"/>
  <c r="AI42" i="16"/>
  <c r="AI44" i="16"/>
  <c r="AI45" i="16"/>
  <c r="AI41" i="16"/>
  <c r="AI47" i="16"/>
  <c r="AI49" i="16"/>
  <c r="AI48" i="16"/>
  <c r="AI43" i="16"/>
  <c r="AI50" i="16"/>
  <c r="AI51" i="16"/>
  <c r="AI46" i="16"/>
  <c r="AI8" i="16"/>
  <c r="A1" i="91"/>
  <c r="C306" i="91"/>
  <c r="C305" i="91"/>
  <c r="C304" i="91"/>
  <c r="C303" i="91"/>
  <c r="C302" i="91"/>
  <c r="C301" i="91"/>
  <c r="C300" i="91"/>
  <c r="AI15" i="16" s="1"/>
  <c r="P46" i="91"/>
  <c r="O46" i="91"/>
  <c r="N46" i="91"/>
  <c r="H46" i="91"/>
  <c r="Q46" i="91" s="1"/>
  <c r="P45" i="91"/>
  <c r="O45" i="91"/>
  <c r="N45" i="91"/>
  <c r="H45" i="91"/>
  <c r="Q45" i="91" s="1"/>
  <c r="AP44" i="91"/>
  <c r="AO44" i="91" s="1"/>
  <c r="AN44" i="91"/>
  <c r="AM44" i="91" s="1"/>
  <c r="AL44" i="91"/>
  <c r="AK44" i="91" s="1"/>
  <c r="AJ44" i="91"/>
  <c r="AI44" i="91" s="1"/>
  <c r="AH44" i="91"/>
  <c r="AG44" i="91" s="1"/>
  <c r="AF44" i="91"/>
  <c r="AE44" i="91" s="1"/>
  <c r="P44" i="91"/>
  <c r="O44" i="91"/>
  <c r="N44" i="91"/>
  <c r="H44" i="91"/>
  <c r="Q44" i="91" s="1"/>
  <c r="AP43" i="91"/>
  <c r="AO43" i="91" s="1"/>
  <c r="AN43" i="91"/>
  <c r="AM43" i="91" s="1"/>
  <c r="AL43" i="91"/>
  <c r="AK43" i="91" s="1"/>
  <c r="AJ43" i="91"/>
  <c r="AI43" i="91" s="1"/>
  <c r="AH43" i="91"/>
  <c r="AG43" i="91" s="1"/>
  <c r="AF43" i="91"/>
  <c r="AE43" i="91" s="1"/>
  <c r="P43" i="91"/>
  <c r="O43" i="91"/>
  <c r="N43" i="91"/>
  <c r="H43" i="91"/>
  <c r="Q43" i="91" s="1"/>
  <c r="AP42" i="91"/>
  <c r="AO42" i="91" s="1"/>
  <c r="AN42" i="91"/>
  <c r="AM42" i="91" s="1"/>
  <c r="AL42" i="91"/>
  <c r="AK42" i="91" s="1"/>
  <c r="AJ42" i="91"/>
  <c r="AI42" i="91" s="1"/>
  <c r="AH42" i="91"/>
  <c r="AG42" i="91" s="1"/>
  <c r="AF42" i="91"/>
  <c r="AE42" i="91" s="1"/>
  <c r="P42" i="91"/>
  <c r="O42" i="91"/>
  <c r="N42" i="91"/>
  <c r="H42" i="91"/>
  <c r="Q42" i="91" s="1"/>
  <c r="AP41" i="91"/>
  <c r="AO41" i="91" s="1"/>
  <c r="AN41" i="91"/>
  <c r="AM41" i="91" s="1"/>
  <c r="AL41" i="91"/>
  <c r="AK41" i="91" s="1"/>
  <c r="AJ41" i="91"/>
  <c r="AI41" i="91" s="1"/>
  <c r="AH41" i="91"/>
  <c r="AG41" i="91" s="1"/>
  <c r="AF41" i="91"/>
  <c r="AE41" i="91" s="1"/>
  <c r="R41" i="91"/>
  <c r="I44" i="91" s="1"/>
  <c r="AP40" i="91"/>
  <c r="AO40" i="91" s="1"/>
  <c r="AN40" i="91"/>
  <c r="AM40" i="91" s="1"/>
  <c r="AL40" i="91"/>
  <c r="AK40" i="91" s="1"/>
  <c r="AJ40" i="91"/>
  <c r="AI40" i="91" s="1"/>
  <c r="AH40" i="91"/>
  <c r="AG40" i="91" s="1"/>
  <c r="AF40" i="91"/>
  <c r="AE40" i="91" s="1"/>
  <c r="AP39" i="91"/>
  <c r="AO39" i="91" s="1"/>
  <c r="AN39" i="91"/>
  <c r="AM39" i="91" s="1"/>
  <c r="AL39" i="91"/>
  <c r="AK39" i="91" s="1"/>
  <c r="AJ39" i="91"/>
  <c r="AI39" i="91" s="1"/>
  <c r="AH39" i="91"/>
  <c r="AG39" i="91" s="1"/>
  <c r="AF39" i="91"/>
  <c r="AE39" i="91" s="1"/>
  <c r="P39" i="91"/>
  <c r="O39" i="91"/>
  <c r="N39" i="91"/>
  <c r="H39" i="91"/>
  <c r="Q39" i="91" s="1"/>
  <c r="AP38" i="91"/>
  <c r="AO38" i="91" s="1"/>
  <c r="AN38" i="91"/>
  <c r="AM38" i="91" s="1"/>
  <c r="AL38" i="91"/>
  <c r="AK38" i="91" s="1"/>
  <c r="AJ38" i="91"/>
  <c r="AI38" i="91" s="1"/>
  <c r="AH38" i="91"/>
  <c r="AG38" i="91" s="1"/>
  <c r="AF38" i="91"/>
  <c r="AE38" i="91" s="1"/>
  <c r="P38" i="91"/>
  <c r="O38" i="91"/>
  <c r="N38" i="91"/>
  <c r="H38" i="91"/>
  <c r="Q38" i="91" s="1"/>
  <c r="AP37" i="91"/>
  <c r="AO37" i="91" s="1"/>
  <c r="AN37" i="91"/>
  <c r="AM37" i="91" s="1"/>
  <c r="AL37" i="91"/>
  <c r="AK37" i="91" s="1"/>
  <c r="AJ37" i="91"/>
  <c r="AI37" i="91" s="1"/>
  <c r="AH37" i="91"/>
  <c r="AG37" i="91" s="1"/>
  <c r="AF37" i="91"/>
  <c r="AE37" i="91" s="1"/>
  <c r="P37" i="91"/>
  <c r="O37" i="91"/>
  <c r="N37" i="91"/>
  <c r="H37" i="91"/>
  <c r="Q37" i="91" s="1"/>
  <c r="AP36" i="91"/>
  <c r="AO36" i="91" s="1"/>
  <c r="AN36" i="91"/>
  <c r="AM36" i="91" s="1"/>
  <c r="AL36" i="91"/>
  <c r="AK36" i="91" s="1"/>
  <c r="AJ36" i="91"/>
  <c r="AI36" i="91" s="1"/>
  <c r="AH36" i="91"/>
  <c r="AG36" i="91" s="1"/>
  <c r="AF36" i="91"/>
  <c r="AE36" i="91" s="1"/>
  <c r="P36" i="91"/>
  <c r="O36" i="91"/>
  <c r="N36" i="91"/>
  <c r="H36" i="91"/>
  <c r="Q36" i="91" s="1"/>
  <c r="AP35" i="91"/>
  <c r="AO35" i="91" s="1"/>
  <c r="AN35" i="91"/>
  <c r="AM35" i="91" s="1"/>
  <c r="AL35" i="91"/>
  <c r="AK35" i="91" s="1"/>
  <c r="AJ35" i="91"/>
  <c r="AI35" i="91" s="1"/>
  <c r="AH35" i="91"/>
  <c r="AG35" i="91" s="1"/>
  <c r="AF35" i="91"/>
  <c r="AE35" i="91" s="1"/>
  <c r="P35" i="91"/>
  <c r="O35" i="91"/>
  <c r="N35" i="91"/>
  <c r="H35" i="91"/>
  <c r="Q35" i="91" s="1"/>
  <c r="AP34" i="91"/>
  <c r="AO34" i="91" s="1"/>
  <c r="AN34" i="91"/>
  <c r="AM34" i="91" s="1"/>
  <c r="AL34" i="91"/>
  <c r="AK34" i="91" s="1"/>
  <c r="AJ34" i="91"/>
  <c r="AI34" i="91" s="1"/>
  <c r="AH34" i="91"/>
  <c r="AG34" i="91" s="1"/>
  <c r="AF34" i="91"/>
  <c r="AE34" i="91" s="1"/>
  <c r="R34" i="91"/>
  <c r="I39" i="91" s="1"/>
  <c r="AP33" i="91"/>
  <c r="AO33" i="91" s="1"/>
  <c r="AN33" i="91"/>
  <c r="AM33" i="91" s="1"/>
  <c r="AL33" i="91"/>
  <c r="AK33" i="91" s="1"/>
  <c r="AJ33" i="91"/>
  <c r="AI33" i="91" s="1"/>
  <c r="AH33" i="91"/>
  <c r="AG33" i="91" s="1"/>
  <c r="AF33" i="91"/>
  <c r="AE33" i="91" s="1"/>
  <c r="AP32" i="91"/>
  <c r="AO32" i="91" s="1"/>
  <c r="AN32" i="91"/>
  <c r="AM32" i="91" s="1"/>
  <c r="AL32" i="91"/>
  <c r="AK32" i="91" s="1"/>
  <c r="AJ32" i="91"/>
  <c r="AI32" i="91" s="1"/>
  <c r="AH32" i="91"/>
  <c r="AG32" i="91" s="1"/>
  <c r="AF32" i="91"/>
  <c r="AE32" i="91" s="1"/>
  <c r="P32" i="91"/>
  <c r="O32" i="91"/>
  <c r="N32" i="91"/>
  <c r="H32" i="91"/>
  <c r="Q32" i="91" s="1"/>
  <c r="AP31" i="91"/>
  <c r="AO31" i="91" s="1"/>
  <c r="AN31" i="91"/>
  <c r="AM31" i="91" s="1"/>
  <c r="AL31" i="91"/>
  <c r="AK31" i="91" s="1"/>
  <c r="AJ31" i="91"/>
  <c r="AI31" i="91" s="1"/>
  <c r="AH31" i="91"/>
  <c r="AG31" i="91" s="1"/>
  <c r="AF31" i="91"/>
  <c r="AE31" i="91" s="1"/>
  <c r="P31" i="91"/>
  <c r="O31" i="91"/>
  <c r="N31" i="91"/>
  <c r="H31" i="91"/>
  <c r="Q31" i="91" s="1"/>
  <c r="AP30" i="91"/>
  <c r="AO30" i="91" s="1"/>
  <c r="AN30" i="91"/>
  <c r="AM30" i="91" s="1"/>
  <c r="AL30" i="91"/>
  <c r="AK30" i="91" s="1"/>
  <c r="AJ30" i="91"/>
  <c r="AI30" i="91" s="1"/>
  <c r="AH30" i="91"/>
  <c r="AG30" i="91" s="1"/>
  <c r="AF30" i="91"/>
  <c r="AE30" i="91" s="1"/>
  <c r="P30" i="91"/>
  <c r="O30" i="91"/>
  <c r="N30" i="91"/>
  <c r="H30" i="91"/>
  <c r="Q30" i="91" s="1"/>
  <c r="AP29" i="91"/>
  <c r="AO29" i="91" s="1"/>
  <c r="AN29" i="91"/>
  <c r="AM29" i="91" s="1"/>
  <c r="AL29" i="91"/>
  <c r="AK29" i="91" s="1"/>
  <c r="AJ29" i="91"/>
  <c r="AI29" i="91" s="1"/>
  <c r="AH29" i="91"/>
  <c r="AG29" i="91" s="1"/>
  <c r="AF29" i="91"/>
  <c r="AE29" i="91" s="1"/>
  <c r="P29" i="91"/>
  <c r="O29" i="91"/>
  <c r="N29" i="91"/>
  <c r="H29" i="91"/>
  <c r="Q29" i="91" s="1"/>
  <c r="AP28" i="91"/>
  <c r="AO28" i="91" s="1"/>
  <c r="AN28" i="91"/>
  <c r="AM28" i="91" s="1"/>
  <c r="AL28" i="91"/>
  <c r="AK28" i="91" s="1"/>
  <c r="AJ28" i="91"/>
  <c r="AI28" i="91" s="1"/>
  <c r="AH28" i="91"/>
  <c r="AG28" i="91" s="1"/>
  <c r="AF28" i="91"/>
  <c r="AE28" i="91" s="1"/>
  <c r="P28" i="91"/>
  <c r="O28" i="91"/>
  <c r="N28" i="91"/>
  <c r="H28" i="91"/>
  <c r="Q28" i="91" s="1"/>
  <c r="AP27" i="91"/>
  <c r="AO27" i="91" s="1"/>
  <c r="AN27" i="91"/>
  <c r="AM27" i="91" s="1"/>
  <c r="AL27" i="91"/>
  <c r="AK27" i="91" s="1"/>
  <c r="AJ27" i="91"/>
  <c r="AI27" i="91" s="1"/>
  <c r="AH27" i="91"/>
  <c r="AG27" i="91" s="1"/>
  <c r="AF27" i="91"/>
  <c r="AE27" i="91" s="1"/>
  <c r="R27" i="91"/>
  <c r="I32" i="91" s="1"/>
  <c r="AP26" i="91"/>
  <c r="AO26" i="91" s="1"/>
  <c r="AN26" i="91"/>
  <c r="AM26" i="91" s="1"/>
  <c r="AL26" i="91"/>
  <c r="AK26" i="91" s="1"/>
  <c r="AJ26" i="91"/>
  <c r="AI26" i="91" s="1"/>
  <c r="AH26" i="91"/>
  <c r="AG26" i="91" s="1"/>
  <c r="AF26" i="91"/>
  <c r="AE26" i="91" s="1"/>
  <c r="AP25" i="91"/>
  <c r="AO25" i="91" s="1"/>
  <c r="AN25" i="91"/>
  <c r="AM25" i="91" s="1"/>
  <c r="AL25" i="91"/>
  <c r="AK25" i="91" s="1"/>
  <c r="AJ25" i="91"/>
  <c r="AI25" i="91" s="1"/>
  <c r="AH25" i="91"/>
  <c r="AG25" i="91" s="1"/>
  <c r="AF25" i="91"/>
  <c r="AE25" i="91" s="1"/>
  <c r="P25" i="91"/>
  <c r="O25" i="91"/>
  <c r="N25" i="91"/>
  <c r="H25" i="91"/>
  <c r="Q25" i="91" s="1"/>
  <c r="AP24" i="91"/>
  <c r="AO24" i="91" s="1"/>
  <c r="AN24" i="91"/>
  <c r="AM24" i="91" s="1"/>
  <c r="AL24" i="91"/>
  <c r="AK24" i="91" s="1"/>
  <c r="AJ24" i="91"/>
  <c r="AI24" i="91" s="1"/>
  <c r="AH24" i="91"/>
  <c r="AG24" i="91" s="1"/>
  <c r="AF24" i="91"/>
  <c r="AE24" i="91" s="1"/>
  <c r="P24" i="91"/>
  <c r="O24" i="91"/>
  <c r="N24" i="91"/>
  <c r="H24" i="91"/>
  <c r="Q24" i="91" s="1"/>
  <c r="AP23" i="91"/>
  <c r="AO23" i="91" s="1"/>
  <c r="AN23" i="91"/>
  <c r="AM23" i="91" s="1"/>
  <c r="AL23" i="91"/>
  <c r="AK23" i="91" s="1"/>
  <c r="AJ23" i="91"/>
  <c r="AI23" i="91" s="1"/>
  <c r="AH23" i="91"/>
  <c r="AG23" i="91" s="1"/>
  <c r="AF23" i="91"/>
  <c r="AE23" i="91" s="1"/>
  <c r="P23" i="91"/>
  <c r="O23" i="91"/>
  <c r="N23" i="91"/>
  <c r="H23" i="91"/>
  <c r="Q23" i="91" s="1"/>
  <c r="AP22" i="91"/>
  <c r="AO22" i="91" s="1"/>
  <c r="AN22" i="91"/>
  <c r="AM22" i="91" s="1"/>
  <c r="AL22" i="91"/>
  <c r="AK22" i="91" s="1"/>
  <c r="AJ22" i="91"/>
  <c r="AI22" i="91" s="1"/>
  <c r="AH22" i="91"/>
  <c r="AG22" i="91" s="1"/>
  <c r="AF22" i="91"/>
  <c r="AE22" i="91" s="1"/>
  <c r="P22" i="91"/>
  <c r="O22" i="91"/>
  <c r="N22" i="91"/>
  <c r="H22" i="91"/>
  <c r="Q22" i="91" s="1"/>
  <c r="AP21" i="91"/>
  <c r="AO21" i="91" s="1"/>
  <c r="AN21" i="91"/>
  <c r="AM21" i="91" s="1"/>
  <c r="AL21" i="91"/>
  <c r="AK21" i="91" s="1"/>
  <c r="AJ21" i="91"/>
  <c r="AI21" i="91" s="1"/>
  <c r="AH21" i="91"/>
  <c r="AG21" i="91" s="1"/>
  <c r="AF21" i="91"/>
  <c r="AE21" i="91" s="1"/>
  <c r="P21" i="91"/>
  <c r="O21" i="91"/>
  <c r="N21" i="91"/>
  <c r="H21" i="91"/>
  <c r="Q21" i="91" s="1"/>
  <c r="AP20" i="91"/>
  <c r="AO20" i="91" s="1"/>
  <c r="AN20" i="91"/>
  <c r="AM20" i="91" s="1"/>
  <c r="AL20" i="91"/>
  <c r="AK20" i="91" s="1"/>
  <c r="AJ20" i="91"/>
  <c r="AI20" i="91" s="1"/>
  <c r="AH20" i="91"/>
  <c r="AG20" i="91" s="1"/>
  <c r="AF20" i="91"/>
  <c r="AE20" i="91" s="1"/>
  <c r="R20" i="91"/>
  <c r="I25" i="91" s="1"/>
  <c r="AP19" i="91"/>
  <c r="AO19" i="91" s="1"/>
  <c r="AN19" i="91"/>
  <c r="AM19" i="91" s="1"/>
  <c r="AL19" i="91"/>
  <c r="AK19" i="91" s="1"/>
  <c r="AJ19" i="91"/>
  <c r="AI19" i="91" s="1"/>
  <c r="AH19" i="91"/>
  <c r="AG19" i="91" s="1"/>
  <c r="AF19" i="91"/>
  <c r="AE19" i="91" s="1"/>
  <c r="AP18" i="91"/>
  <c r="AO18" i="91" s="1"/>
  <c r="AN18" i="91"/>
  <c r="AM18" i="91" s="1"/>
  <c r="AL18" i="91"/>
  <c r="AK18" i="91" s="1"/>
  <c r="AJ18" i="91"/>
  <c r="AI18" i="91" s="1"/>
  <c r="AH18" i="91"/>
  <c r="AG18" i="91" s="1"/>
  <c r="AF18" i="91"/>
  <c r="AE18" i="91" s="1"/>
  <c r="P18" i="91"/>
  <c r="O18" i="91"/>
  <c r="N18" i="91"/>
  <c r="H18" i="91"/>
  <c r="Q18" i="91" s="1"/>
  <c r="AP17" i="91"/>
  <c r="AO17" i="91" s="1"/>
  <c r="AN17" i="91"/>
  <c r="AM17" i="91" s="1"/>
  <c r="AL17" i="91"/>
  <c r="AJ17" i="91"/>
  <c r="AH17" i="91"/>
  <c r="AG17" i="91" s="1"/>
  <c r="AF17" i="91"/>
  <c r="P17" i="91"/>
  <c r="O17" i="91"/>
  <c r="N17" i="91"/>
  <c r="H17" i="91"/>
  <c r="Q17" i="91" s="1"/>
  <c r="AP16" i="91"/>
  <c r="AO16" i="91" s="1"/>
  <c r="AN16" i="91"/>
  <c r="AM16" i="91" s="1"/>
  <c r="AL16" i="91"/>
  <c r="AJ16" i="91"/>
  <c r="AH16" i="91"/>
  <c r="AG16" i="91" s="1"/>
  <c r="AF16" i="91"/>
  <c r="P16" i="91"/>
  <c r="O16" i="91"/>
  <c r="N16" i="91"/>
  <c r="H16" i="91"/>
  <c r="Q16" i="91" s="1"/>
  <c r="AP15" i="91"/>
  <c r="AO15" i="91" s="1"/>
  <c r="AN15" i="91"/>
  <c r="AM15" i="91" s="1"/>
  <c r="AL15" i="91"/>
  <c r="AJ15" i="91"/>
  <c r="AH15" i="91"/>
  <c r="AG15" i="91" s="1"/>
  <c r="AF15" i="91"/>
  <c r="P15" i="91"/>
  <c r="O15" i="91"/>
  <c r="N15" i="91"/>
  <c r="H15" i="91"/>
  <c r="Q15" i="91" s="1"/>
  <c r="AP14" i="91"/>
  <c r="AO14" i="91" s="1"/>
  <c r="AN14" i="91"/>
  <c r="AM14" i="91" s="1"/>
  <c r="AL14" i="91"/>
  <c r="AJ14" i="91"/>
  <c r="AH14" i="91"/>
  <c r="AG14" i="91" s="1"/>
  <c r="AF14" i="91"/>
  <c r="P14" i="91"/>
  <c r="O14" i="91"/>
  <c r="N14" i="91"/>
  <c r="H14" i="91"/>
  <c r="Q14" i="91" s="1"/>
  <c r="AP13" i="91"/>
  <c r="AO13" i="91" s="1"/>
  <c r="AN13" i="91"/>
  <c r="AM13" i="91" s="1"/>
  <c r="AL13" i="91"/>
  <c r="AK13" i="91" s="1"/>
  <c r="AJ13" i="91"/>
  <c r="AI13" i="91" s="1"/>
  <c r="AH13" i="91"/>
  <c r="AG13" i="91" s="1"/>
  <c r="AF13" i="91"/>
  <c r="AE13" i="91" s="1"/>
  <c r="R13" i="91"/>
  <c r="AP12" i="91"/>
  <c r="AO12" i="91" s="1"/>
  <c r="AN12" i="91"/>
  <c r="AM12" i="91" s="1"/>
  <c r="AL12" i="91"/>
  <c r="AK12" i="91" s="1"/>
  <c r="AJ12" i="91"/>
  <c r="AI12" i="91" s="1"/>
  <c r="AH12" i="91"/>
  <c r="AG12" i="91" s="1"/>
  <c r="AF12" i="91"/>
  <c r="AE12" i="91" s="1"/>
  <c r="AP11" i="91"/>
  <c r="AO11" i="91" s="1"/>
  <c r="AN11" i="91"/>
  <c r="AM11" i="91" s="1"/>
  <c r="AL11" i="91"/>
  <c r="AK11" i="91" s="1"/>
  <c r="AJ11" i="91"/>
  <c r="AI11" i="91" s="1"/>
  <c r="AH11" i="91"/>
  <c r="AG11" i="91" s="1"/>
  <c r="AF11" i="91"/>
  <c r="AE11" i="91" s="1"/>
  <c r="P11" i="91"/>
  <c r="O11" i="91"/>
  <c r="N11" i="91"/>
  <c r="H11" i="91"/>
  <c r="Q11" i="91" s="1"/>
  <c r="AP10" i="91"/>
  <c r="AO10" i="91" s="1"/>
  <c r="AN10" i="91"/>
  <c r="AM10" i="91" s="1"/>
  <c r="AL10" i="91"/>
  <c r="AJ10" i="91"/>
  <c r="AH10" i="91"/>
  <c r="AG10" i="91" s="1"/>
  <c r="AF10" i="91"/>
  <c r="P10" i="91"/>
  <c r="O10" i="91"/>
  <c r="N10" i="91"/>
  <c r="H10" i="91"/>
  <c r="Q10" i="91" s="1"/>
  <c r="AP9" i="91"/>
  <c r="AO9" i="91" s="1"/>
  <c r="AN9" i="91"/>
  <c r="AM9" i="91" s="1"/>
  <c r="AL9" i="91"/>
  <c r="AJ9" i="91"/>
  <c r="AH9" i="91"/>
  <c r="AG9" i="91" s="1"/>
  <c r="AF9" i="91"/>
  <c r="P9" i="91"/>
  <c r="O9" i="91"/>
  <c r="N9" i="91"/>
  <c r="H9" i="91"/>
  <c r="Q9" i="91" s="1"/>
  <c r="AP8" i="91"/>
  <c r="AO8" i="91" s="1"/>
  <c r="AN8" i="91"/>
  <c r="AM8" i="91" s="1"/>
  <c r="AL8" i="91"/>
  <c r="AJ8" i="91"/>
  <c r="AH8" i="91"/>
  <c r="AG8" i="91" s="1"/>
  <c r="AF8" i="91"/>
  <c r="P8" i="91"/>
  <c r="O8" i="91"/>
  <c r="N8" i="91"/>
  <c r="H8" i="91"/>
  <c r="Q8" i="91" s="1"/>
  <c r="AP7" i="91"/>
  <c r="AO7" i="91" s="1"/>
  <c r="AN7" i="91"/>
  <c r="AM7" i="91" s="1"/>
  <c r="AL7" i="91"/>
  <c r="AJ7" i="91"/>
  <c r="AH7" i="91"/>
  <c r="AG7" i="91" s="1"/>
  <c r="AF7" i="91"/>
  <c r="P7" i="91"/>
  <c r="O7" i="91"/>
  <c r="N7" i="91"/>
  <c r="H7" i="91"/>
  <c r="Q7" i="91" s="1"/>
  <c r="R6" i="91"/>
  <c r="I11" i="91" s="1"/>
  <c r="AD13" i="91" l="1"/>
  <c r="AD41" i="91"/>
  <c r="AD42" i="91"/>
  <c r="AD43" i="91"/>
  <c r="I123" i="91"/>
  <c r="I124" i="91"/>
  <c r="AI16" i="16"/>
  <c r="AI28" i="16"/>
  <c r="AD26" i="91"/>
  <c r="AD37" i="91"/>
  <c r="AD36" i="91"/>
  <c r="AD12" i="91"/>
  <c r="I10" i="91"/>
  <c r="AD18" i="91"/>
  <c r="AD27" i="91"/>
  <c r="AD28" i="91"/>
  <c r="AD29" i="91"/>
  <c r="AD30" i="91"/>
  <c r="AD31" i="91"/>
  <c r="AD32" i="91"/>
  <c r="AD40" i="91"/>
  <c r="I21" i="91"/>
  <c r="I22" i="91"/>
  <c r="I23" i="91"/>
  <c r="I24" i="91"/>
  <c r="I35" i="91"/>
  <c r="I36" i="91"/>
  <c r="I37" i="91"/>
  <c r="I38" i="91"/>
  <c r="AD20" i="91"/>
  <c r="AD39" i="91"/>
  <c r="AD11" i="91"/>
  <c r="AD19" i="91"/>
  <c r="AD21" i="91"/>
  <c r="AD33" i="91"/>
  <c r="AD38" i="91"/>
  <c r="AD44" i="91"/>
  <c r="AD34" i="91"/>
  <c r="AD35" i="91"/>
  <c r="L7" i="91"/>
  <c r="J7" i="91"/>
  <c r="T7" i="91" s="1"/>
  <c r="L8" i="91"/>
  <c r="J8" i="91"/>
  <c r="T8" i="91" s="1"/>
  <c r="L10" i="91"/>
  <c r="J10" i="91"/>
  <c r="L11" i="91"/>
  <c r="J11" i="91"/>
  <c r="I18" i="91"/>
  <c r="J14" i="91"/>
  <c r="J15" i="91"/>
  <c r="J16" i="91"/>
  <c r="J17" i="91"/>
  <c r="J18" i="91"/>
  <c r="AD22" i="91"/>
  <c r="AD23" i="91"/>
  <c r="AD24" i="91"/>
  <c r="AD25" i="91"/>
  <c r="L9" i="91"/>
  <c r="J9" i="91"/>
  <c r="T9" i="91" s="1"/>
  <c r="L14" i="91"/>
  <c r="L15" i="91"/>
  <c r="L16" i="91"/>
  <c r="L17" i="91"/>
  <c r="L18" i="91"/>
  <c r="L21" i="91"/>
  <c r="J21" i="91"/>
  <c r="L28" i="91"/>
  <c r="J28" i="91"/>
  <c r="L29" i="91"/>
  <c r="J29" i="91"/>
  <c r="L30" i="91"/>
  <c r="J30" i="91"/>
  <c r="L31" i="91"/>
  <c r="J31" i="91"/>
  <c r="J22" i="91"/>
  <c r="T22" i="91" s="1"/>
  <c r="L22" i="91"/>
  <c r="J23" i="91"/>
  <c r="T23" i="91" s="1"/>
  <c r="L23" i="91"/>
  <c r="J24" i="91"/>
  <c r="T24" i="91" s="1"/>
  <c r="L24" i="91"/>
  <c r="J25" i="91"/>
  <c r="T25" i="91" s="1"/>
  <c r="L25" i="91"/>
  <c r="I28" i="91"/>
  <c r="I29" i="91"/>
  <c r="I30" i="91"/>
  <c r="I31" i="91"/>
  <c r="J32" i="91"/>
  <c r="T32" i="91" s="1"/>
  <c r="L32" i="91"/>
  <c r="L35" i="91"/>
  <c r="J35" i="91"/>
  <c r="L36" i="91"/>
  <c r="J36" i="91"/>
  <c r="L37" i="91"/>
  <c r="J37" i="91"/>
  <c r="L38" i="91"/>
  <c r="J38" i="91"/>
  <c r="L39" i="91"/>
  <c r="J39" i="91"/>
  <c r="L42" i="91"/>
  <c r="J42" i="91"/>
  <c r="T42" i="91" s="1"/>
  <c r="L43" i="91"/>
  <c r="J43" i="91"/>
  <c r="L44" i="91"/>
  <c r="J44" i="91"/>
  <c r="T44" i="91" s="1"/>
  <c r="I42" i="91"/>
  <c r="I43" i="91"/>
  <c r="I46" i="91"/>
  <c r="I45" i="91"/>
  <c r="L45" i="91"/>
  <c r="J45" i="91"/>
  <c r="T45" i="91" s="1"/>
  <c r="L46" i="91"/>
  <c r="J46" i="91"/>
  <c r="I31" i="8"/>
  <c r="E31" i="8"/>
  <c r="F31" i="8"/>
  <c r="E29" i="8"/>
  <c r="F29" i="8"/>
  <c r="AI4" i="16"/>
  <c r="M115" i="7"/>
  <c r="M106" i="7"/>
  <c r="M110" i="7"/>
  <c r="M112" i="7"/>
  <c r="T46" i="91" l="1"/>
  <c r="T43" i="91"/>
  <c r="T39" i="91"/>
  <c r="T38" i="91"/>
  <c r="T37" i="91"/>
  <c r="T36" i="91"/>
  <c r="T35" i="91"/>
  <c r="K35" i="91" s="1"/>
  <c r="R35" i="91" s="1"/>
  <c r="T31" i="91"/>
  <c r="T30" i="91"/>
  <c r="T29" i="91"/>
  <c r="T28" i="91"/>
  <c r="K28" i="91" s="1"/>
  <c r="R28" i="91" s="1"/>
  <c r="T21" i="91"/>
  <c r="K21" i="91" s="1"/>
  <c r="R21" i="91" s="1"/>
  <c r="T18" i="91"/>
  <c r="T17" i="91"/>
  <c r="T16" i="91"/>
  <c r="T15" i="91"/>
  <c r="T14" i="91"/>
  <c r="K14" i="91" s="1"/>
  <c r="R14" i="91" s="1"/>
  <c r="T11" i="91"/>
  <c r="T10" i="91"/>
  <c r="K10" i="91" s="1"/>
  <c r="R10" i="91" s="1"/>
  <c r="K23" i="91"/>
  <c r="R23" i="91" s="1"/>
  <c r="C301" i="90"/>
  <c r="C302" i="90"/>
  <c r="C303" i="90"/>
  <c r="C304" i="90"/>
  <c r="C305" i="90"/>
  <c r="C306" i="90"/>
  <c r="C307" i="90"/>
  <c r="C308" i="90"/>
  <c r="C309" i="90"/>
  <c r="C310" i="90"/>
  <c r="C311" i="90"/>
  <c r="C312" i="90"/>
  <c r="C300" i="90"/>
  <c r="W17" i="90"/>
  <c r="Z17" i="90"/>
  <c r="AB17" i="90"/>
  <c r="AC17" i="90" s="1"/>
  <c r="AF17" i="90"/>
  <c r="AH17" i="90"/>
  <c r="AJ17" i="90"/>
  <c r="AI17" i="90" s="1"/>
  <c r="AL17" i="90"/>
  <c r="AK17" i="90" s="1"/>
  <c r="AN17" i="90"/>
  <c r="AM17" i="90" s="1"/>
  <c r="AP17" i="90"/>
  <c r="AO17" i="90" s="1"/>
  <c r="W18" i="90"/>
  <c r="Z18" i="90"/>
  <c r="AB18" i="90"/>
  <c r="AC18" i="90" s="1"/>
  <c r="AF18" i="90"/>
  <c r="AH18" i="90"/>
  <c r="AJ18" i="90"/>
  <c r="AI18" i="90" s="1"/>
  <c r="AL18" i="90"/>
  <c r="AK18" i="90" s="1"/>
  <c r="AN18" i="90"/>
  <c r="AM18" i="90" s="1"/>
  <c r="AP18" i="90"/>
  <c r="AO18" i="90" s="1"/>
  <c r="W19" i="90"/>
  <c r="Z19" i="90"/>
  <c r="AB19" i="90"/>
  <c r="AF19" i="90"/>
  <c r="AH19" i="90"/>
  <c r="AJ19" i="90"/>
  <c r="AI19" i="90" s="1"/>
  <c r="AL19" i="90"/>
  <c r="AK19" i="90" s="1"/>
  <c r="AN19" i="90"/>
  <c r="AM19" i="90" s="1"/>
  <c r="AP19" i="90"/>
  <c r="AO19" i="90" s="1"/>
  <c r="W16" i="90"/>
  <c r="Z16" i="90"/>
  <c r="AB16" i="90"/>
  <c r="AC16" i="90" s="1"/>
  <c r="AF16" i="90"/>
  <c r="AH16" i="90"/>
  <c r="AJ16" i="90"/>
  <c r="AI16" i="90" s="1"/>
  <c r="AL16" i="90"/>
  <c r="AK16" i="90" s="1"/>
  <c r="AN16" i="90"/>
  <c r="AM16" i="90" s="1"/>
  <c r="AP16" i="90"/>
  <c r="AO16" i="90" s="1"/>
  <c r="A1" i="90"/>
  <c r="B308" i="90" s="1"/>
  <c r="AP15" i="90"/>
  <c r="AO15" i="90" s="1"/>
  <c r="AN15" i="90"/>
  <c r="AM15" i="90" s="1"/>
  <c r="AL15" i="90"/>
  <c r="AK15" i="90" s="1"/>
  <c r="AJ15" i="90"/>
  <c r="AI15" i="90" s="1"/>
  <c r="AH15" i="90"/>
  <c r="AF15" i="90"/>
  <c r="AB15" i="90"/>
  <c r="Z15" i="90"/>
  <c r="W15" i="90"/>
  <c r="AP14" i="90"/>
  <c r="AO14" i="90" s="1"/>
  <c r="AN14" i="90"/>
  <c r="AM14" i="90" s="1"/>
  <c r="AL14" i="90"/>
  <c r="AK14" i="90" s="1"/>
  <c r="AJ14" i="90"/>
  <c r="AI14" i="90" s="1"/>
  <c r="AH14" i="90"/>
  <c r="AF14" i="90"/>
  <c r="AB14" i="90"/>
  <c r="Z14" i="90"/>
  <c r="W14" i="90"/>
  <c r="AP13" i="90"/>
  <c r="AO13" i="90" s="1"/>
  <c r="AN13" i="90"/>
  <c r="AM13" i="90" s="1"/>
  <c r="AL13" i="90"/>
  <c r="AK13" i="90" s="1"/>
  <c r="AJ13" i="90"/>
  <c r="AI13" i="90" s="1"/>
  <c r="AH13" i="90"/>
  <c r="AF13" i="90"/>
  <c r="AB13" i="90"/>
  <c r="Z13" i="90"/>
  <c r="W13" i="90"/>
  <c r="AP12" i="90"/>
  <c r="AO12" i="90" s="1"/>
  <c r="AN12" i="90"/>
  <c r="AM12" i="90" s="1"/>
  <c r="AL12" i="90"/>
  <c r="AK12" i="90" s="1"/>
  <c r="AJ12" i="90"/>
  <c r="AI12" i="90" s="1"/>
  <c r="AH12" i="90"/>
  <c r="AF12" i="90"/>
  <c r="AB12" i="90"/>
  <c r="Z12" i="90"/>
  <c r="W12" i="90"/>
  <c r="AP11" i="90"/>
  <c r="AO11" i="90" s="1"/>
  <c r="AN11" i="90"/>
  <c r="AM11" i="90" s="1"/>
  <c r="AL11" i="90"/>
  <c r="AK11" i="90" s="1"/>
  <c r="AJ11" i="90"/>
  <c r="AI11" i="90" s="1"/>
  <c r="AH11" i="90"/>
  <c r="AF11" i="90"/>
  <c r="AB11" i="90"/>
  <c r="Z11" i="90"/>
  <c r="W11" i="90"/>
  <c r="AP10" i="90"/>
  <c r="AO10" i="90" s="1"/>
  <c r="AN10" i="90"/>
  <c r="AM10" i="90" s="1"/>
  <c r="AL10" i="90"/>
  <c r="AK10" i="90" s="1"/>
  <c r="AJ10" i="90"/>
  <c r="AI10" i="90" s="1"/>
  <c r="AH10" i="90"/>
  <c r="AF10" i="90"/>
  <c r="AB10" i="90"/>
  <c r="Z10" i="90"/>
  <c r="W10" i="90"/>
  <c r="AP9" i="90"/>
  <c r="AO9" i="90" s="1"/>
  <c r="AN9" i="90"/>
  <c r="AM9" i="90" s="1"/>
  <c r="AL9" i="90"/>
  <c r="AK9" i="90" s="1"/>
  <c r="AJ9" i="90"/>
  <c r="AI9" i="90" s="1"/>
  <c r="AH9" i="90"/>
  <c r="AF9" i="90"/>
  <c r="AB9" i="90"/>
  <c r="Z9" i="90"/>
  <c r="W9" i="90"/>
  <c r="AP8" i="90"/>
  <c r="AO8" i="90" s="1"/>
  <c r="AN8" i="90"/>
  <c r="AM8" i="90" s="1"/>
  <c r="AL8" i="90"/>
  <c r="AK8" i="90" s="1"/>
  <c r="AJ8" i="90"/>
  <c r="AI8" i="90" s="1"/>
  <c r="AH8" i="90"/>
  <c r="AF8" i="90"/>
  <c r="AB8" i="90"/>
  <c r="Z8" i="90"/>
  <c r="W8" i="90"/>
  <c r="AP7" i="90"/>
  <c r="AO7" i="90" s="1"/>
  <c r="AN7" i="90"/>
  <c r="AM7" i="90" s="1"/>
  <c r="AL7" i="90"/>
  <c r="AK7" i="90" s="1"/>
  <c r="AJ7" i="90"/>
  <c r="AI7" i="90" s="1"/>
  <c r="AH7" i="90"/>
  <c r="AF7" i="90"/>
  <c r="AB7" i="90"/>
  <c r="Z7" i="90"/>
  <c r="W7" i="90"/>
  <c r="K32" i="91" l="1"/>
  <c r="R32" i="91" s="1"/>
  <c r="K9" i="91"/>
  <c r="R9" i="91" s="1"/>
  <c r="K46" i="91"/>
  <c r="R46" i="91" s="1"/>
  <c r="K11" i="91"/>
  <c r="R11" i="91" s="1"/>
  <c r="K15" i="91"/>
  <c r="R15" i="91" s="1"/>
  <c r="K17" i="91"/>
  <c r="R17" i="91" s="1"/>
  <c r="K29" i="91"/>
  <c r="R29" i="91" s="1"/>
  <c r="K31" i="91"/>
  <c r="R31" i="91" s="1"/>
  <c r="K36" i="91"/>
  <c r="R36" i="91" s="1"/>
  <c r="K38" i="91"/>
  <c r="R38" i="91" s="1"/>
  <c r="K43" i="91"/>
  <c r="R43" i="91" s="1"/>
  <c r="K8" i="91"/>
  <c r="R8" i="91" s="1"/>
  <c r="K24" i="91"/>
  <c r="R24" i="91" s="1"/>
  <c r="K42" i="91"/>
  <c r="R42" i="91" s="1"/>
  <c r="K16" i="91"/>
  <c r="R16" i="91" s="1"/>
  <c r="K18" i="91"/>
  <c r="R18" i="91" s="1"/>
  <c r="K30" i="91"/>
  <c r="R30" i="91" s="1"/>
  <c r="K37" i="91"/>
  <c r="R37" i="91" s="1"/>
  <c r="K39" i="91"/>
  <c r="R39" i="91" s="1"/>
  <c r="K25" i="91"/>
  <c r="R25" i="91" s="1"/>
  <c r="K44" i="91"/>
  <c r="R44" i="91" s="1"/>
  <c r="K7" i="91"/>
  <c r="R7" i="91" s="1"/>
  <c r="M10" i="91" s="1"/>
  <c r="S10" i="91" s="1"/>
  <c r="K22" i="91"/>
  <c r="R22" i="91" s="1"/>
  <c r="K45" i="91"/>
  <c r="R45" i="91" s="1"/>
  <c r="B311" i="90"/>
  <c r="B309" i="90"/>
  <c r="B312" i="90"/>
  <c r="B310" i="90"/>
  <c r="AC14" i="90"/>
  <c r="AC12" i="90"/>
  <c r="AC10" i="90"/>
  <c r="AC8" i="90"/>
  <c r="AC19" i="90"/>
  <c r="AC7" i="90"/>
  <c r="AC9" i="90"/>
  <c r="AC11" i="90"/>
  <c r="AC13" i="90"/>
  <c r="AC15" i="90"/>
  <c r="B300" i="90"/>
  <c r="B301" i="90"/>
  <c r="B302" i="90"/>
  <c r="B303" i="90"/>
  <c r="B304" i="90"/>
  <c r="B305" i="90"/>
  <c r="B306" i="90"/>
  <c r="B307" i="90"/>
  <c r="A1" i="89"/>
  <c r="M46" i="91" l="1"/>
  <c r="S46" i="91" s="1"/>
  <c r="M45" i="91"/>
  <c r="S45" i="91" s="1"/>
  <c r="M22" i="91"/>
  <c r="S22" i="91" s="1"/>
  <c r="M44" i="91"/>
  <c r="S44" i="91" s="1"/>
  <c r="M39" i="91"/>
  <c r="S39" i="91" s="1"/>
  <c r="M30" i="91"/>
  <c r="S30" i="91" s="1"/>
  <c r="M16" i="91"/>
  <c r="S16" i="91" s="1"/>
  <c r="M24" i="91"/>
  <c r="S24" i="91" s="1"/>
  <c r="M43" i="91"/>
  <c r="S43" i="91" s="1"/>
  <c r="M36" i="91"/>
  <c r="S36" i="91" s="1"/>
  <c r="M29" i="91"/>
  <c r="S29" i="91" s="1"/>
  <c r="M15" i="91"/>
  <c r="S15" i="91" s="1"/>
  <c r="M23" i="91"/>
  <c r="S23" i="91" s="1"/>
  <c r="M28" i="91"/>
  <c r="S28" i="91" s="1"/>
  <c r="M14" i="91"/>
  <c r="S14" i="91" s="1"/>
  <c r="M32" i="91"/>
  <c r="S32" i="91" s="1"/>
  <c r="M7" i="91"/>
  <c r="S7" i="91" s="1"/>
  <c r="M25" i="91"/>
  <c r="S25" i="91" s="1"/>
  <c r="M37" i="91"/>
  <c r="S37" i="91" s="1"/>
  <c r="M18" i="91"/>
  <c r="S18" i="91" s="1"/>
  <c r="M42" i="91"/>
  <c r="S42" i="91" s="1"/>
  <c r="M8" i="91"/>
  <c r="S8" i="91" s="1"/>
  <c r="M38" i="91"/>
  <c r="S38" i="91" s="1"/>
  <c r="M31" i="91"/>
  <c r="S31" i="91" s="1"/>
  <c r="M17" i="91"/>
  <c r="S17" i="91" s="1"/>
  <c r="I17" i="91" s="1"/>
  <c r="M11" i="91"/>
  <c r="S11" i="91" s="1"/>
  <c r="M35" i="91"/>
  <c r="S35" i="91" s="1"/>
  <c r="M21" i="91"/>
  <c r="S21" i="91" s="1"/>
  <c r="M9" i="91"/>
  <c r="S9" i="91" s="1"/>
  <c r="I9" i="91" s="1"/>
  <c r="AH9" i="16"/>
  <c r="AH12" i="16"/>
  <c r="AH7" i="16"/>
  <c r="AH14" i="16"/>
  <c r="AH15" i="16"/>
  <c r="AH18" i="16"/>
  <c r="AH22" i="16"/>
  <c r="AH24" i="16"/>
  <c r="AH30" i="16"/>
  <c r="AH20" i="16"/>
  <c r="AH32" i="16"/>
  <c r="AH28" i="16"/>
  <c r="AH26" i="16"/>
  <c r="AH27" i="16"/>
  <c r="AH39" i="16"/>
  <c r="AH31" i="16"/>
  <c r="AH38" i="16"/>
  <c r="AH44" i="16"/>
  <c r="AH41" i="16"/>
  <c r="AH43" i="16"/>
  <c r="AH51" i="16"/>
  <c r="AH48" i="16"/>
  <c r="AH8" i="16"/>
  <c r="AH11" i="16"/>
  <c r="AH10" i="16"/>
  <c r="AH13" i="16"/>
  <c r="AH17" i="16"/>
  <c r="AH16" i="16"/>
  <c r="AH19" i="16"/>
  <c r="AH23" i="16"/>
  <c r="AH25" i="16"/>
  <c r="AH29" i="16"/>
  <c r="AH21" i="16"/>
  <c r="AH33" i="16"/>
  <c r="AH35" i="16"/>
  <c r="AH34" i="16"/>
  <c r="AH37" i="16"/>
  <c r="AH36" i="16"/>
  <c r="AH40" i="16"/>
  <c r="AH42" i="16"/>
  <c r="AH45" i="16"/>
  <c r="AH49" i="16"/>
  <c r="AH50" i="16"/>
  <c r="AH47" i="16"/>
  <c r="AH46" i="16"/>
  <c r="E18" i="8"/>
  <c r="M102" i="7"/>
  <c r="M105" i="7"/>
  <c r="I15" i="91" l="1"/>
  <c r="I14" i="91"/>
  <c r="I16" i="91"/>
  <c r="I7" i="91"/>
  <c r="I8" i="91"/>
  <c r="C301" i="89"/>
  <c r="C302" i="89"/>
  <c r="C303" i="89"/>
  <c r="C304" i="89"/>
  <c r="C305" i="89"/>
  <c r="C306" i="89"/>
  <c r="C307" i="89"/>
  <c r="C308" i="89"/>
  <c r="C300" i="89"/>
  <c r="B122" i="91" l="1"/>
  <c r="B120" i="91"/>
  <c r="C106" i="91"/>
  <c r="E112" i="91" s="1"/>
  <c r="H111" i="91" s="1"/>
  <c r="C102" i="91"/>
  <c r="E103" i="91" s="1"/>
  <c r="H105" i="91" s="1"/>
  <c r="B121" i="91"/>
  <c r="C108" i="91"/>
  <c r="E107" i="91" s="1"/>
  <c r="H108" i="91" s="1"/>
  <c r="C104" i="91"/>
  <c r="E110" i="91" s="1"/>
  <c r="H114" i="91" s="1"/>
  <c r="K106" i="7"/>
  <c r="I106" i="7"/>
  <c r="AH4" i="16"/>
  <c r="M99" i="7"/>
  <c r="M109" i="7"/>
  <c r="M107" i="7"/>
  <c r="E28" i="8"/>
  <c r="F28" i="8"/>
  <c r="AP15" i="89"/>
  <c r="AO15" i="89" s="1"/>
  <c r="AN15" i="89"/>
  <c r="AM15" i="89" s="1"/>
  <c r="AL15" i="89"/>
  <c r="AJ15" i="89"/>
  <c r="AH15" i="89"/>
  <c r="AG15" i="89" s="1"/>
  <c r="AF15" i="89"/>
  <c r="AB15" i="89"/>
  <c r="Z15" i="89"/>
  <c r="W15" i="89"/>
  <c r="AP14" i="89"/>
  <c r="AO14" i="89" s="1"/>
  <c r="AN14" i="89"/>
  <c r="AM14" i="89" s="1"/>
  <c r="AL14" i="89"/>
  <c r="AJ14" i="89"/>
  <c r="AH14" i="89"/>
  <c r="AG14" i="89" s="1"/>
  <c r="AF14" i="89"/>
  <c r="AB14" i="89"/>
  <c r="Z14" i="89"/>
  <c r="W14" i="89"/>
  <c r="AP13" i="89"/>
  <c r="AO13" i="89" s="1"/>
  <c r="AN13" i="89"/>
  <c r="AM13" i="89" s="1"/>
  <c r="AL13" i="89"/>
  <c r="AJ13" i="89"/>
  <c r="AH13" i="89"/>
  <c r="AG13" i="89" s="1"/>
  <c r="AF13" i="89"/>
  <c r="AB13" i="89"/>
  <c r="Z13" i="89"/>
  <c r="W13" i="89"/>
  <c r="AP12" i="89"/>
  <c r="AO12" i="89" s="1"/>
  <c r="AN12" i="89"/>
  <c r="AM12" i="89" s="1"/>
  <c r="AL12" i="89"/>
  <c r="AJ12" i="89"/>
  <c r="AH12" i="89"/>
  <c r="AG12" i="89" s="1"/>
  <c r="AF12" i="89"/>
  <c r="AB12" i="89"/>
  <c r="Z12" i="89"/>
  <c r="W12" i="89"/>
  <c r="AP11" i="89"/>
  <c r="AO11" i="89" s="1"/>
  <c r="AN11" i="89"/>
  <c r="AM11" i="89" s="1"/>
  <c r="AL11" i="89"/>
  <c r="AJ11" i="89"/>
  <c r="AH11" i="89"/>
  <c r="AG11" i="89" s="1"/>
  <c r="AF11" i="89"/>
  <c r="AB11" i="89"/>
  <c r="Z11" i="89"/>
  <c r="W11" i="89"/>
  <c r="AP10" i="89"/>
  <c r="AO10" i="89" s="1"/>
  <c r="AN10" i="89"/>
  <c r="AM10" i="89" s="1"/>
  <c r="AL10" i="89"/>
  <c r="AJ10" i="89"/>
  <c r="AH10" i="89"/>
  <c r="AG10" i="89" s="1"/>
  <c r="AF10" i="89"/>
  <c r="AB10" i="89"/>
  <c r="Z10" i="89"/>
  <c r="W10" i="89"/>
  <c r="AP9" i="89"/>
  <c r="AO9" i="89" s="1"/>
  <c r="AN9" i="89"/>
  <c r="AM9" i="89" s="1"/>
  <c r="AL9" i="89"/>
  <c r="AJ9" i="89"/>
  <c r="AH9" i="89"/>
  <c r="AG9" i="89" s="1"/>
  <c r="AF9" i="89"/>
  <c r="AB9" i="89"/>
  <c r="Z9" i="89"/>
  <c r="W9" i="89"/>
  <c r="AP8" i="89"/>
  <c r="AO8" i="89" s="1"/>
  <c r="AN8" i="89"/>
  <c r="AM8" i="89" s="1"/>
  <c r="AL8" i="89"/>
  <c r="AJ8" i="89"/>
  <c r="AH8" i="89"/>
  <c r="AG8" i="89" s="1"/>
  <c r="AF8" i="89"/>
  <c r="AB8" i="89"/>
  <c r="Z8" i="89"/>
  <c r="W8" i="89"/>
  <c r="AP7" i="89"/>
  <c r="AO7" i="89" s="1"/>
  <c r="AN7" i="89"/>
  <c r="AM7" i="89" s="1"/>
  <c r="AL7" i="89"/>
  <c r="AJ7" i="89"/>
  <c r="AH7" i="89"/>
  <c r="AG7" i="89" s="1"/>
  <c r="AF7" i="89"/>
  <c r="AB7" i="89"/>
  <c r="Z7" i="89"/>
  <c r="W7" i="89"/>
  <c r="AC15" i="89" l="1"/>
  <c r="AC14" i="89"/>
  <c r="AC13" i="89"/>
  <c r="AC12" i="89"/>
  <c r="AC11" i="89"/>
  <c r="AC9" i="89"/>
  <c r="AC8" i="89"/>
  <c r="AC7" i="89"/>
  <c r="AC10" i="89"/>
  <c r="B300" i="89"/>
  <c r="B301" i="89"/>
  <c r="B302" i="89"/>
  <c r="B303" i="89"/>
  <c r="B304" i="89"/>
  <c r="B305" i="89"/>
  <c r="B306" i="89"/>
  <c r="B307" i="89"/>
  <c r="B308" i="89"/>
  <c r="AG4" i="16"/>
  <c r="AF8" i="16"/>
  <c r="AF7" i="16"/>
  <c r="AF11" i="16"/>
  <c r="AF12" i="16"/>
  <c r="AF13" i="16"/>
  <c r="AF9" i="16"/>
  <c r="AF15" i="16"/>
  <c r="AF16" i="16"/>
  <c r="AF17" i="16"/>
  <c r="AF19" i="16"/>
  <c r="AF14" i="16"/>
  <c r="AF18" i="16"/>
  <c r="AF23" i="16"/>
  <c r="AF30" i="16"/>
  <c r="AF22" i="16"/>
  <c r="AF24" i="16"/>
  <c r="AF25" i="16"/>
  <c r="AF27" i="16"/>
  <c r="AF39" i="16"/>
  <c r="AF34" i="16"/>
  <c r="AF32" i="16"/>
  <c r="AF29" i="16"/>
  <c r="AF20" i="16"/>
  <c r="AF21" i="16"/>
  <c r="AF37" i="16"/>
  <c r="AF35" i="16"/>
  <c r="AF33" i="16"/>
  <c r="AF28" i="16"/>
  <c r="AF42" i="16"/>
  <c r="AF44" i="16"/>
  <c r="AF45" i="16"/>
  <c r="AF38" i="16"/>
  <c r="AF41" i="16"/>
  <c r="AF40" i="16"/>
  <c r="AF49" i="16"/>
  <c r="AF50" i="16"/>
  <c r="AF51" i="16"/>
  <c r="AF26" i="16"/>
  <c r="AF47" i="16"/>
  <c r="AF46" i="16"/>
  <c r="AF36" i="16"/>
  <c r="AF48" i="16"/>
  <c r="AF43" i="16"/>
  <c r="AF31" i="16"/>
  <c r="AF10" i="16"/>
  <c r="Q12" i="88"/>
  <c r="Q11" i="88"/>
  <c r="Q10" i="88"/>
  <c r="Q9" i="88"/>
  <c r="Q8" i="88"/>
  <c r="Q7" i="88"/>
  <c r="P12" i="88"/>
  <c r="P11" i="88"/>
  <c r="P10" i="88"/>
  <c r="P9" i="88"/>
  <c r="P8" i="88"/>
  <c r="P7" i="88"/>
  <c r="G115" i="88"/>
  <c r="G112" i="88"/>
  <c r="G109" i="88"/>
  <c r="G106" i="88"/>
  <c r="G103" i="88"/>
  <c r="G100" i="88"/>
  <c r="R12" i="88"/>
  <c r="U12" i="88" s="1"/>
  <c r="O12" i="88"/>
  <c r="R11" i="88"/>
  <c r="U11" i="88" s="1"/>
  <c r="O11" i="88"/>
  <c r="R10" i="88"/>
  <c r="U10" i="88" s="1"/>
  <c r="O10" i="88"/>
  <c r="R9" i="88"/>
  <c r="U9" i="88" s="1"/>
  <c r="O9" i="88"/>
  <c r="R8" i="88"/>
  <c r="U8" i="88" s="1"/>
  <c r="O8" i="88"/>
  <c r="R7" i="88"/>
  <c r="U7" i="88" s="1"/>
  <c r="O7" i="88"/>
  <c r="S6" i="88"/>
  <c r="AG11" i="16" l="1"/>
  <c r="AG9" i="16"/>
  <c r="AG13" i="16"/>
  <c r="AG19" i="16"/>
  <c r="AG17" i="16"/>
  <c r="AG18" i="16"/>
  <c r="AG30" i="16"/>
  <c r="AG22" i="16"/>
  <c r="AG25" i="16"/>
  <c r="AG32" i="16"/>
  <c r="AG27" i="16"/>
  <c r="AG39" i="16"/>
  <c r="AG20" i="16"/>
  <c r="AG42" i="16"/>
  <c r="AG44" i="16"/>
  <c r="AG38" i="16"/>
  <c r="AG40" i="16"/>
  <c r="AG49" i="16"/>
  <c r="AG51" i="16"/>
  <c r="AG47" i="16"/>
  <c r="AG46" i="16"/>
  <c r="AG43" i="16"/>
  <c r="AG31" i="16"/>
  <c r="AG8" i="16"/>
  <c r="AG12" i="16"/>
  <c r="AG7" i="16"/>
  <c r="AG14" i="16"/>
  <c r="AG15" i="16"/>
  <c r="AG16" i="16"/>
  <c r="AG23" i="16"/>
  <c r="AG29" i="16"/>
  <c r="AG24" i="16"/>
  <c r="AG33" i="16"/>
  <c r="AG35" i="16"/>
  <c r="AG37" i="16"/>
  <c r="AG34" i="16"/>
  <c r="AG21" i="16"/>
  <c r="AG28" i="16"/>
  <c r="AG45" i="16"/>
  <c r="AG41" i="16"/>
  <c r="AG26" i="16"/>
  <c r="AG50" i="16"/>
  <c r="AG36" i="16"/>
  <c r="AG48" i="16"/>
  <c r="AG10" i="16"/>
  <c r="S12" i="88"/>
  <c r="T12" i="88" s="1"/>
  <c r="S7" i="88"/>
  <c r="S8" i="88"/>
  <c r="S9" i="88"/>
  <c r="S10" i="88"/>
  <c r="S11" i="88"/>
  <c r="N10" i="88" l="1"/>
  <c r="T10" i="88" s="1"/>
  <c r="N8" i="88"/>
  <c r="T8" i="88" s="1"/>
  <c r="N11" i="88"/>
  <c r="T11" i="88" s="1"/>
  <c r="N9" i="88"/>
  <c r="T9" i="88" s="1"/>
  <c r="N7" i="88"/>
  <c r="T7" i="88" s="1"/>
  <c r="A1" i="88" l="1"/>
  <c r="C305" i="88"/>
  <c r="C304" i="88"/>
  <c r="C303" i="88"/>
  <c r="C302" i="88"/>
  <c r="C301" i="88"/>
  <c r="C300" i="88"/>
  <c r="AP44" i="88"/>
  <c r="AO44" i="88" s="1"/>
  <c r="AN44" i="88"/>
  <c r="AM44" i="88" s="1"/>
  <c r="AL44" i="88"/>
  <c r="AK44" i="88" s="1"/>
  <c r="AJ44" i="88"/>
  <c r="AI44" i="88" s="1"/>
  <c r="AH44" i="88"/>
  <c r="AG44" i="88" s="1"/>
  <c r="AF44" i="88"/>
  <c r="AE44" i="88" s="1"/>
  <c r="AP43" i="88"/>
  <c r="AO43" i="88" s="1"/>
  <c r="AN43" i="88"/>
  <c r="AM43" i="88" s="1"/>
  <c r="AL43" i="88"/>
  <c r="AK43" i="88" s="1"/>
  <c r="AJ43" i="88"/>
  <c r="AI43" i="88" s="1"/>
  <c r="AH43" i="88"/>
  <c r="AG43" i="88" s="1"/>
  <c r="AF43" i="88"/>
  <c r="AE43" i="88" s="1"/>
  <c r="AP42" i="88"/>
  <c r="AO42" i="88" s="1"/>
  <c r="AN42" i="88"/>
  <c r="AM42" i="88" s="1"/>
  <c r="AL42" i="88"/>
  <c r="AK42" i="88" s="1"/>
  <c r="AJ42" i="88"/>
  <c r="AI42" i="88" s="1"/>
  <c r="AH42" i="88"/>
  <c r="AG42" i="88" s="1"/>
  <c r="AF42" i="88"/>
  <c r="AE42" i="88" s="1"/>
  <c r="AP41" i="88"/>
  <c r="AO41" i="88" s="1"/>
  <c r="AN41" i="88"/>
  <c r="AM41" i="88" s="1"/>
  <c r="AL41" i="88"/>
  <c r="AK41" i="88" s="1"/>
  <c r="AJ41" i="88"/>
  <c r="AI41" i="88" s="1"/>
  <c r="AH41" i="88"/>
  <c r="AG41" i="88" s="1"/>
  <c r="AF41" i="88"/>
  <c r="AE41" i="88" s="1"/>
  <c r="AP40" i="88"/>
  <c r="AO40" i="88" s="1"/>
  <c r="AN40" i="88"/>
  <c r="AM40" i="88" s="1"/>
  <c r="AL40" i="88"/>
  <c r="AK40" i="88" s="1"/>
  <c r="AJ40" i="88"/>
  <c r="AI40" i="88" s="1"/>
  <c r="AH40" i="88"/>
  <c r="AG40" i="88" s="1"/>
  <c r="AF40" i="88"/>
  <c r="AE40" i="88" s="1"/>
  <c r="AP39" i="88"/>
  <c r="AO39" i="88" s="1"/>
  <c r="AN39" i="88"/>
  <c r="AM39" i="88" s="1"/>
  <c r="AL39" i="88"/>
  <c r="AK39" i="88" s="1"/>
  <c r="AJ39" i="88"/>
  <c r="AI39" i="88" s="1"/>
  <c r="AH39" i="88"/>
  <c r="AG39" i="88" s="1"/>
  <c r="AF39" i="88"/>
  <c r="AE39" i="88" s="1"/>
  <c r="AP38" i="88"/>
  <c r="AO38" i="88" s="1"/>
  <c r="AN38" i="88"/>
  <c r="AM38" i="88" s="1"/>
  <c r="AL38" i="88"/>
  <c r="AK38" i="88" s="1"/>
  <c r="AJ38" i="88"/>
  <c r="AI38" i="88" s="1"/>
  <c r="AH38" i="88"/>
  <c r="AG38" i="88" s="1"/>
  <c r="AF38" i="88"/>
  <c r="AE38" i="88" s="1"/>
  <c r="AP37" i="88"/>
  <c r="AO37" i="88" s="1"/>
  <c r="AN37" i="88"/>
  <c r="AM37" i="88" s="1"/>
  <c r="AL37" i="88"/>
  <c r="AK37" i="88" s="1"/>
  <c r="AJ37" i="88"/>
  <c r="AI37" i="88" s="1"/>
  <c r="AH37" i="88"/>
  <c r="AG37" i="88" s="1"/>
  <c r="AF37" i="88"/>
  <c r="AE37" i="88" s="1"/>
  <c r="AP36" i="88"/>
  <c r="AO36" i="88" s="1"/>
  <c r="AN36" i="88"/>
  <c r="AM36" i="88" s="1"/>
  <c r="AL36" i="88"/>
  <c r="AK36" i="88" s="1"/>
  <c r="AJ36" i="88"/>
  <c r="AI36" i="88" s="1"/>
  <c r="AH36" i="88"/>
  <c r="AG36" i="88" s="1"/>
  <c r="AF36" i="88"/>
  <c r="AE36" i="88" s="1"/>
  <c r="AP35" i="88"/>
  <c r="AO35" i="88" s="1"/>
  <c r="AN35" i="88"/>
  <c r="AM35" i="88" s="1"/>
  <c r="AL35" i="88"/>
  <c r="AK35" i="88" s="1"/>
  <c r="AJ35" i="88"/>
  <c r="AI35" i="88" s="1"/>
  <c r="AH35" i="88"/>
  <c r="AG35" i="88" s="1"/>
  <c r="AF35" i="88"/>
  <c r="AE35" i="88" s="1"/>
  <c r="AP34" i="88"/>
  <c r="AO34" i="88" s="1"/>
  <c r="AN34" i="88"/>
  <c r="AM34" i="88" s="1"/>
  <c r="AL34" i="88"/>
  <c r="AK34" i="88" s="1"/>
  <c r="AJ34" i="88"/>
  <c r="AI34" i="88" s="1"/>
  <c r="AH34" i="88"/>
  <c r="AG34" i="88" s="1"/>
  <c r="AF34" i="88"/>
  <c r="AE34" i="88" s="1"/>
  <c r="AP33" i="88"/>
  <c r="AO33" i="88" s="1"/>
  <c r="AN33" i="88"/>
  <c r="AM33" i="88" s="1"/>
  <c r="AL33" i="88"/>
  <c r="AK33" i="88" s="1"/>
  <c r="AJ33" i="88"/>
  <c r="AI33" i="88" s="1"/>
  <c r="AH33" i="88"/>
  <c r="AG33" i="88" s="1"/>
  <c r="AF33" i="88"/>
  <c r="AE33" i="88" s="1"/>
  <c r="AP32" i="88"/>
  <c r="AO32" i="88" s="1"/>
  <c r="AN32" i="88"/>
  <c r="AM32" i="88" s="1"/>
  <c r="AL32" i="88"/>
  <c r="AK32" i="88" s="1"/>
  <c r="AJ32" i="88"/>
  <c r="AI32" i="88" s="1"/>
  <c r="AH32" i="88"/>
  <c r="AG32" i="88" s="1"/>
  <c r="AF32" i="88"/>
  <c r="AE32" i="88" s="1"/>
  <c r="AP31" i="88"/>
  <c r="AO31" i="88" s="1"/>
  <c r="AN31" i="88"/>
  <c r="AM31" i="88" s="1"/>
  <c r="AL31" i="88"/>
  <c r="AK31" i="88" s="1"/>
  <c r="AJ31" i="88"/>
  <c r="AI31" i="88" s="1"/>
  <c r="AH31" i="88"/>
  <c r="AG31" i="88" s="1"/>
  <c r="AF31" i="88"/>
  <c r="AE31" i="88" s="1"/>
  <c r="AP30" i="88"/>
  <c r="AO30" i="88" s="1"/>
  <c r="AN30" i="88"/>
  <c r="AM30" i="88" s="1"/>
  <c r="AL30" i="88"/>
  <c r="AK30" i="88" s="1"/>
  <c r="AJ30" i="88"/>
  <c r="AI30" i="88" s="1"/>
  <c r="AH30" i="88"/>
  <c r="AG30" i="88" s="1"/>
  <c r="AF30" i="88"/>
  <c r="AE30" i="88" s="1"/>
  <c r="AP29" i="88"/>
  <c r="AO29" i="88" s="1"/>
  <c r="AN29" i="88"/>
  <c r="AM29" i="88" s="1"/>
  <c r="AL29" i="88"/>
  <c r="AK29" i="88" s="1"/>
  <c r="AJ29" i="88"/>
  <c r="AI29" i="88" s="1"/>
  <c r="AH29" i="88"/>
  <c r="AG29" i="88" s="1"/>
  <c r="AF29" i="88"/>
  <c r="AE29" i="88" s="1"/>
  <c r="AP28" i="88"/>
  <c r="AO28" i="88" s="1"/>
  <c r="AN28" i="88"/>
  <c r="AM28" i="88" s="1"/>
  <c r="AL28" i="88"/>
  <c r="AK28" i="88" s="1"/>
  <c r="AJ28" i="88"/>
  <c r="AI28" i="88" s="1"/>
  <c r="AH28" i="88"/>
  <c r="AG28" i="88" s="1"/>
  <c r="AF28" i="88"/>
  <c r="AE28" i="88" s="1"/>
  <c r="AP27" i="88"/>
  <c r="AO27" i="88" s="1"/>
  <c r="AN27" i="88"/>
  <c r="AM27" i="88" s="1"/>
  <c r="AL27" i="88"/>
  <c r="AK27" i="88" s="1"/>
  <c r="AJ27" i="88"/>
  <c r="AI27" i="88" s="1"/>
  <c r="AH27" i="88"/>
  <c r="AG27" i="88" s="1"/>
  <c r="AF27" i="88"/>
  <c r="AE27" i="88" s="1"/>
  <c r="AP26" i="88"/>
  <c r="AO26" i="88" s="1"/>
  <c r="AN26" i="88"/>
  <c r="AM26" i="88" s="1"/>
  <c r="AL26" i="88"/>
  <c r="AK26" i="88" s="1"/>
  <c r="AJ26" i="88"/>
  <c r="AI26" i="88" s="1"/>
  <c r="AH26" i="88"/>
  <c r="AG26" i="88" s="1"/>
  <c r="AF26" i="88"/>
  <c r="AE26" i="88" s="1"/>
  <c r="AP25" i="88"/>
  <c r="AO25" i="88" s="1"/>
  <c r="AN25" i="88"/>
  <c r="AM25" i="88" s="1"/>
  <c r="AL25" i="88"/>
  <c r="AK25" i="88" s="1"/>
  <c r="AJ25" i="88"/>
  <c r="AI25" i="88" s="1"/>
  <c r="AH25" i="88"/>
  <c r="AG25" i="88" s="1"/>
  <c r="AF25" i="88"/>
  <c r="AE25" i="88" s="1"/>
  <c r="AP24" i="88"/>
  <c r="AO24" i="88" s="1"/>
  <c r="AN24" i="88"/>
  <c r="AM24" i="88" s="1"/>
  <c r="AL24" i="88"/>
  <c r="AK24" i="88" s="1"/>
  <c r="AJ24" i="88"/>
  <c r="AI24" i="88" s="1"/>
  <c r="AH24" i="88"/>
  <c r="AG24" i="88" s="1"/>
  <c r="AF24" i="88"/>
  <c r="AE24" i="88" s="1"/>
  <c r="AP23" i="88"/>
  <c r="AO23" i="88" s="1"/>
  <c r="AN23" i="88"/>
  <c r="AM23" i="88" s="1"/>
  <c r="AL23" i="88"/>
  <c r="AK23" i="88" s="1"/>
  <c r="AJ23" i="88"/>
  <c r="AI23" i="88" s="1"/>
  <c r="AH23" i="88"/>
  <c r="AG23" i="88" s="1"/>
  <c r="AF23" i="88"/>
  <c r="AE23" i="88" s="1"/>
  <c r="AP22" i="88"/>
  <c r="AO22" i="88" s="1"/>
  <c r="AN22" i="88"/>
  <c r="AM22" i="88" s="1"/>
  <c r="AL22" i="88"/>
  <c r="AK22" i="88" s="1"/>
  <c r="AJ22" i="88"/>
  <c r="AI22" i="88" s="1"/>
  <c r="AH22" i="88"/>
  <c r="AG22" i="88" s="1"/>
  <c r="AF22" i="88"/>
  <c r="AE22" i="88" s="1"/>
  <c r="AP21" i="88"/>
  <c r="AO21" i="88" s="1"/>
  <c r="AN21" i="88"/>
  <c r="AM21" i="88" s="1"/>
  <c r="AL21" i="88"/>
  <c r="AK21" i="88" s="1"/>
  <c r="AJ21" i="88"/>
  <c r="AI21" i="88" s="1"/>
  <c r="AH21" i="88"/>
  <c r="AG21" i="88" s="1"/>
  <c r="AF21" i="88"/>
  <c r="AE21" i="88" s="1"/>
  <c r="AP20" i="88"/>
  <c r="AO20" i="88" s="1"/>
  <c r="AN20" i="88"/>
  <c r="AM20" i="88" s="1"/>
  <c r="AL20" i="88"/>
  <c r="AK20" i="88" s="1"/>
  <c r="AJ20" i="88"/>
  <c r="AI20" i="88" s="1"/>
  <c r="AH20" i="88"/>
  <c r="AG20" i="88" s="1"/>
  <c r="AF20" i="88"/>
  <c r="AE20" i="88" s="1"/>
  <c r="AP19" i="88"/>
  <c r="AO19" i="88" s="1"/>
  <c r="AN19" i="88"/>
  <c r="AM19" i="88" s="1"/>
  <c r="AL19" i="88"/>
  <c r="AK19" i="88" s="1"/>
  <c r="AJ19" i="88"/>
  <c r="AI19" i="88" s="1"/>
  <c r="AH19" i="88"/>
  <c r="AG19" i="88" s="1"/>
  <c r="AF19" i="88"/>
  <c r="AE19" i="88" s="1"/>
  <c r="AP18" i="88"/>
  <c r="AO18" i="88" s="1"/>
  <c r="AN18" i="88"/>
  <c r="AM18" i="88" s="1"/>
  <c r="AL18" i="88"/>
  <c r="AK18" i="88" s="1"/>
  <c r="AJ18" i="88"/>
  <c r="AI18" i="88" s="1"/>
  <c r="AH18" i="88"/>
  <c r="AG18" i="88" s="1"/>
  <c r="AF18" i="88"/>
  <c r="AE18" i="88" s="1"/>
  <c r="AP17" i="88"/>
  <c r="AO17" i="88" s="1"/>
  <c r="AN17" i="88"/>
  <c r="AM17" i="88" s="1"/>
  <c r="AL17" i="88"/>
  <c r="AK17" i="88" s="1"/>
  <c r="AJ17" i="88"/>
  <c r="AI17" i="88" s="1"/>
  <c r="AH17" i="88"/>
  <c r="AG17" i="88" s="1"/>
  <c r="AF17" i="88"/>
  <c r="AE17" i="88" s="1"/>
  <c r="AP16" i="88"/>
  <c r="AO16" i="88" s="1"/>
  <c r="AN16" i="88"/>
  <c r="AM16" i="88" s="1"/>
  <c r="AL16" i="88"/>
  <c r="AK16" i="88" s="1"/>
  <c r="AJ16" i="88"/>
  <c r="AI16" i="88" s="1"/>
  <c r="AH16" i="88"/>
  <c r="AG16" i="88" s="1"/>
  <c r="AF16" i="88"/>
  <c r="AE16" i="88" s="1"/>
  <c r="AP15" i="88"/>
  <c r="AO15" i="88" s="1"/>
  <c r="AN15" i="88"/>
  <c r="AM15" i="88" s="1"/>
  <c r="AL15" i="88"/>
  <c r="AK15" i="88" s="1"/>
  <c r="AJ15" i="88"/>
  <c r="AI15" i="88" s="1"/>
  <c r="AH15" i="88"/>
  <c r="AG15" i="88" s="1"/>
  <c r="AF15" i="88"/>
  <c r="AE15" i="88" s="1"/>
  <c r="AP14" i="88"/>
  <c r="AO14" i="88" s="1"/>
  <c r="AN14" i="88"/>
  <c r="AM14" i="88" s="1"/>
  <c r="AL14" i="88"/>
  <c r="AK14" i="88" s="1"/>
  <c r="AJ14" i="88"/>
  <c r="AI14" i="88" s="1"/>
  <c r="AH14" i="88"/>
  <c r="AG14" i="88" s="1"/>
  <c r="AF14" i="88"/>
  <c r="AE14" i="88" s="1"/>
  <c r="AP13" i="88"/>
  <c r="AO13" i="88" s="1"/>
  <c r="AN13" i="88"/>
  <c r="AM13" i="88" s="1"/>
  <c r="AL13" i="88"/>
  <c r="AK13" i="88" s="1"/>
  <c r="AJ13" i="88"/>
  <c r="AI13" i="88" s="1"/>
  <c r="AH13" i="88"/>
  <c r="AG13" i="88"/>
  <c r="AF13" i="88"/>
  <c r="AE13" i="88"/>
  <c r="AP12" i="88"/>
  <c r="AO12" i="88" s="1"/>
  <c r="AN12" i="88"/>
  <c r="AM12" i="88" s="1"/>
  <c r="AL12" i="88"/>
  <c r="AJ12" i="88"/>
  <c r="AH12" i="88"/>
  <c r="AG12" i="88" s="1"/>
  <c r="AF12" i="88"/>
  <c r="AP11" i="88"/>
  <c r="AO11" i="88" s="1"/>
  <c r="AN11" i="88"/>
  <c r="AM11" i="88" s="1"/>
  <c r="AL11" i="88"/>
  <c r="AJ11" i="88"/>
  <c r="AH11" i="88"/>
  <c r="AG11" i="88" s="1"/>
  <c r="AF11" i="88"/>
  <c r="AP10" i="88"/>
  <c r="AO10" i="88" s="1"/>
  <c r="AN10" i="88"/>
  <c r="AM10" i="88" s="1"/>
  <c r="AL10" i="88"/>
  <c r="AJ10" i="88"/>
  <c r="AH10" i="88"/>
  <c r="AG10" i="88" s="1"/>
  <c r="AF10" i="88"/>
  <c r="AP9" i="88"/>
  <c r="AO9" i="88" s="1"/>
  <c r="AN9" i="88"/>
  <c r="AM9" i="88" s="1"/>
  <c r="AL9" i="88"/>
  <c r="AJ9" i="88"/>
  <c r="AH9" i="88"/>
  <c r="AG9" i="88" s="1"/>
  <c r="AF9" i="88"/>
  <c r="AP8" i="88"/>
  <c r="AO8" i="88" s="1"/>
  <c r="AN8" i="88"/>
  <c r="AM8" i="88" s="1"/>
  <c r="AL8" i="88"/>
  <c r="AJ8" i="88"/>
  <c r="AH8" i="88"/>
  <c r="AG8" i="88" s="1"/>
  <c r="AF8" i="88"/>
  <c r="AP7" i="88"/>
  <c r="AO7" i="88" s="1"/>
  <c r="AN7" i="88"/>
  <c r="AM7" i="88" s="1"/>
  <c r="AL7" i="88"/>
  <c r="AJ7" i="88"/>
  <c r="AH7" i="88"/>
  <c r="AG7" i="88" s="1"/>
  <c r="AF7" i="88"/>
  <c r="M100" i="7"/>
  <c r="E27" i="8"/>
  <c r="F27" i="8"/>
  <c r="AD13" i="88" l="1"/>
  <c r="AD16" i="88"/>
  <c r="AD18" i="88"/>
  <c r="AD20" i="88"/>
  <c r="AD21" i="88"/>
  <c r="AD22" i="88"/>
  <c r="AD23" i="88"/>
  <c r="AD25" i="88"/>
  <c r="AD28" i="88"/>
  <c r="AD30" i="88"/>
  <c r="AD32" i="88"/>
  <c r="AD33" i="88"/>
  <c r="AD15" i="88"/>
  <c r="AD19" i="88"/>
  <c r="AD26" i="88"/>
  <c r="AD24" i="88"/>
  <c r="AD44" i="88"/>
  <c r="AD34" i="88"/>
  <c r="AD35" i="88"/>
  <c r="AD36" i="88"/>
  <c r="AD37" i="88"/>
  <c r="AD38" i="88"/>
  <c r="AD39" i="88"/>
  <c r="AD14" i="88"/>
  <c r="AD27" i="88"/>
  <c r="AD29" i="88"/>
  <c r="AD31" i="88"/>
  <c r="AD17" i="88"/>
  <c r="AD41" i="88"/>
  <c r="AD42" i="88"/>
  <c r="AD43" i="88"/>
  <c r="AD40" i="88"/>
  <c r="AF4" i="16"/>
  <c r="M90" i="7"/>
  <c r="E25" i="8"/>
  <c r="F25" i="8"/>
  <c r="M92" i="7"/>
  <c r="K93" i="7"/>
  <c r="AM10" i="16" l="1"/>
  <c r="AE4" i="16"/>
  <c r="W17" i="87"/>
  <c r="Y17" i="87"/>
  <c r="AA17" i="87"/>
  <c r="AB17" i="87" s="1"/>
  <c r="AF17" i="87"/>
  <c r="AH17" i="87"/>
  <c r="AJ17" i="87"/>
  <c r="AI17" i="87" s="1"/>
  <c r="AL17" i="87"/>
  <c r="AK17" i="87" s="1"/>
  <c r="AN17" i="87"/>
  <c r="AM17" i="87" s="1"/>
  <c r="AP17" i="87"/>
  <c r="AO17" i="87" s="1"/>
  <c r="W18" i="87"/>
  <c r="Y18" i="87"/>
  <c r="AA18" i="87"/>
  <c r="AB18" i="87"/>
  <c r="AF18" i="87"/>
  <c r="AH18" i="87"/>
  <c r="AJ18" i="87"/>
  <c r="AI18" i="87" s="1"/>
  <c r="AL18" i="87"/>
  <c r="AK18" i="87" s="1"/>
  <c r="AN18" i="87"/>
  <c r="AM18" i="87" s="1"/>
  <c r="AP18" i="87"/>
  <c r="AO18" i="87" s="1"/>
  <c r="W19" i="87"/>
  <c r="Y19" i="87"/>
  <c r="AA19" i="87"/>
  <c r="AB19" i="87" s="1"/>
  <c r="AF19" i="87"/>
  <c r="AH19" i="87"/>
  <c r="AJ19" i="87"/>
  <c r="AI19" i="87" s="1"/>
  <c r="AL19" i="87"/>
  <c r="AK19" i="87" s="1"/>
  <c r="AN19" i="87"/>
  <c r="AM19" i="87" s="1"/>
  <c r="AP19" i="87"/>
  <c r="AO19" i="87" s="1"/>
  <c r="C300" i="87"/>
  <c r="C301" i="87"/>
  <c r="C302" i="87"/>
  <c r="C303" i="87"/>
  <c r="C304" i="87"/>
  <c r="C305" i="87"/>
  <c r="C306" i="87"/>
  <c r="C307" i="87"/>
  <c r="C308" i="87"/>
  <c r="C309" i="87"/>
  <c r="C310" i="87"/>
  <c r="C311" i="87"/>
  <c r="C312" i="87"/>
  <c r="AP16" i="87"/>
  <c r="AO16" i="87" s="1"/>
  <c r="AN16" i="87"/>
  <c r="AM16" i="87" s="1"/>
  <c r="AL16" i="87"/>
  <c r="AK16" i="87" s="1"/>
  <c r="AJ16" i="87"/>
  <c r="AI16" i="87" s="1"/>
  <c r="AH16" i="87"/>
  <c r="AF16" i="87"/>
  <c r="AA16" i="87"/>
  <c r="Y16" i="87"/>
  <c r="AB16" i="87" s="1"/>
  <c r="W16" i="87"/>
  <c r="AP15" i="87"/>
  <c r="AO15" i="87" s="1"/>
  <c r="AN15" i="87"/>
  <c r="AM15" i="87" s="1"/>
  <c r="AL15" i="87"/>
  <c r="AK15" i="87" s="1"/>
  <c r="AJ15" i="87"/>
  <c r="AI15" i="87" s="1"/>
  <c r="AH15" i="87"/>
  <c r="AF15" i="87"/>
  <c r="AA15" i="87"/>
  <c r="Y15" i="87"/>
  <c r="AB15" i="87" s="1"/>
  <c r="W15" i="87"/>
  <c r="AP14" i="87"/>
  <c r="AO14" i="87" s="1"/>
  <c r="AN14" i="87"/>
  <c r="AM14" i="87" s="1"/>
  <c r="AL14" i="87"/>
  <c r="AK14" i="87" s="1"/>
  <c r="AJ14" i="87"/>
  <c r="AI14" i="87" s="1"/>
  <c r="AH14" i="87"/>
  <c r="AF14" i="87"/>
  <c r="AA14" i="87"/>
  <c r="Y14" i="87"/>
  <c r="AB14" i="87" s="1"/>
  <c r="W14" i="87"/>
  <c r="AP13" i="87"/>
  <c r="AO13" i="87" s="1"/>
  <c r="AN13" i="87"/>
  <c r="AM13" i="87" s="1"/>
  <c r="AL13" i="87"/>
  <c r="AK13" i="87" s="1"/>
  <c r="AJ13" i="87"/>
  <c r="AI13" i="87" s="1"/>
  <c r="AH13" i="87"/>
  <c r="AF13" i="87"/>
  <c r="AA13" i="87"/>
  <c r="Y13" i="87"/>
  <c r="AB13" i="87" s="1"/>
  <c r="W13" i="87"/>
  <c r="AP12" i="87"/>
  <c r="AO12" i="87" s="1"/>
  <c r="AN12" i="87"/>
  <c r="AM12" i="87" s="1"/>
  <c r="AL12" i="87"/>
  <c r="AK12" i="87" s="1"/>
  <c r="AJ12" i="87"/>
  <c r="AI12" i="87" s="1"/>
  <c r="AH12" i="87"/>
  <c r="AF12" i="87"/>
  <c r="AA12" i="87"/>
  <c r="Y12" i="87"/>
  <c r="AB12" i="87" s="1"/>
  <c r="W12" i="87"/>
  <c r="AP11" i="87"/>
  <c r="AO11" i="87" s="1"/>
  <c r="AN11" i="87"/>
  <c r="AM11" i="87" s="1"/>
  <c r="AL11" i="87"/>
  <c r="AK11" i="87" s="1"/>
  <c r="AJ11" i="87"/>
  <c r="AI11" i="87" s="1"/>
  <c r="AH11" i="87"/>
  <c r="AF11" i="87"/>
  <c r="AA11" i="87"/>
  <c r="Y11" i="87"/>
  <c r="AB11" i="87" s="1"/>
  <c r="W11" i="87"/>
  <c r="AP10" i="87"/>
  <c r="AO10" i="87" s="1"/>
  <c r="AN10" i="87"/>
  <c r="AM10" i="87" s="1"/>
  <c r="AL10" i="87"/>
  <c r="AK10" i="87" s="1"/>
  <c r="AJ10" i="87"/>
  <c r="AI10" i="87" s="1"/>
  <c r="AH10" i="87"/>
  <c r="AF10" i="87"/>
  <c r="AA10" i="87"/>
  <c r="Y10" i="87"/>
  <c r="AB10" i="87" s="1"/>
  <c r="W10" i="87"/>
  <c r="AP9" i="87"/>
  <c r="AO9" i="87" s="1"/>
  <c r="AN9" i="87"/>
  <c r="AM9" i="87" s="1"/>
  <c r="AL9" i="87"/>
  <c r="AK9" i="87" s="1"/>
  <c r="AJ9" i="87"/>
  <c r="AI9" i="87" s="1"/>
  <c r="AH9" i="87"/>
  <c r="AF9" i="87"/>
  <c r="AA9" i="87"/>
  <c r="Y9" i="87"/>
  <c r="AB9" i="87" s="1"/>
  <c r="W9" i="87"/>
  <c r="AP8" i="87"/>
  <c r="AO8" i="87" s="1"/>
  <c r="AN8" i="87"/>
  <c r="AM8" i="87" s="1"/>
  <c r="AL8" i="87"/>
  <c r="AK8" i="87" s="1"/>
  <c r="AJ8" i="87"/>
  <c r="AI8" i="87" s="1"/>
  <c r="AH8" i="87"/>
  <c r="AF8" i="87"/>
  <c r="AA8" i="87"/>
  <c r="Y8" i="87"/>
  <c r="AB8" i="87" s="1"/>
  <c r="W8" i="87"/>
  <c r="AP7" i="87"/>
  <c r="AO7" i="87" s="1"/>
  <c r="AN7" i="87"/>
  <c r="AM7" i="87" s="1"/>
  <c r="AL7" i="87"/>
  <c r="AK7" i="87" s="1"/>
  <c r="AJ7" i="87"/>
  <c r="AI7" i="87" s="1"/>
  <c r="AH7" i="87"/>
  <c r="AF7" i="87"/>
  <c r="AA7" i="87"/>
  <c r="Y7" i="87"/>
  <c r="AB7" i="87" s="1"/>
  <c r="W7" i="87"/>
  <c r="M81" i="7"/>
  <c r="E24" i="8"/>
  <c r="L107" i="7" l="1"/>
  <c r="J107" i="7"/>
  <c r="K108" i="7"/>
  <c r="I108" i="7"/>
  <c r="M83" i="7" l="1"/>
  <c r="F24" i="8"/>
  <c r="A1" i="87" s="1"/>
  <c r="B309" i="87" l="1"/>
  <c r="B310" i="87"/>
  <c r="B312" i="87"/>
  <c r="B311" i="87"/>
  <c r="B301" i="87"/>
  <c r="B303" i="87"/>
  <c r="B305" i="87"/>
  <c r="B300" i="87"/>
  <c r="B302" i="87"/>
  <c r="B304" i="87"/>
  <c r="B306" i="87"/>
  <c r="B308" i="87"/>
  <c r="B307" i="87"/>
  <c r="E23" i="8"/>
  <c r="F23" i="8"/>
  <c r="G76" i="7"/>
  <c r="M80" i="7"/>
  <c r="M78" i="7"/>
  <c r="AE10" i="16" l="1"/>
  <c r="AE7" i="16"/>
  <c r="AE12" i="16"/>
  <c r="AE9" i="16"/>
  <c r="AE16" i="16"/>
  <c r="AE19" i="16"/>
  <c r="AE18" i="16"/>
  <c r="AE30" i="16"/>
  <c r="AE24" i="16"/>
  <c r="AE27" i="16"/>
  <c r="AE34" i="16"/>
  <c r="AE29" i="16"/>
  <c r="AE21" i="16"/>
  <c r="AE35" i="16"/>
  <c r="AE28" i="16"/>
  <c r="AE44" i="16"/>
  <c r="AE38" i="16"/>
  <c r="AE40" i="16"/>
  <c r="AE50" i="16"/>
  <c r="AE26" i="16"/>
  <c r="AE43" i="16"/>
  <c r="AE31" i="16"/>
  <c r="AE8" i="16"/>
  <c r="AE11" i="16"/>
  <c r="AE13" i="16"/>
  <c r="AE15" i="16"/>
  <c r="AE17" i="16"/>
  <c r="AE14" i="16"/>
  <c r="AE23" i="16"/>
  <c r="AE22" i="16"/>
  <c r="AE25" i="16"/>
  <c r="AE39" i="16"/>
  <c r="AE32" i="16"/>
  <c r="AE20" i="16"/>
  <c r="AE37" i="16"/>
  <c r="AE33" i="16"/>
  <c r="AE42" i="16"/>
  <c r="AE45" i="16"/>
  <c r="AE41" i="16"/>
  <c r="AE49" i="16"/>
  <c r="AE51" i="16"/>
  <c r="AE47" i="16"/>
  <c r="AE46" i="16"/>
  <c r="AE36" i="16"/>
  <c r="AE48" i="16"/>
  <c r="K73" i="7"/>
  <c r="E20" i="8"/>
  <c r="F19" i="8"/>
  <c r="F20" i="8"/>
  <c r="N73" i="7" l="1"/>
  <c r="M73" i="7"/>
  <c r="C309" i="86" l="1"/>
  <c r="C308" i="86"/>
  <c r="C307" i="86"/>
  <c r="C306" i="86"/>
  <c r="C305" i="86"/>
  <c r="C304" i="86"/>
  <c r="C303" i="86"/>
  <c r="C302" i="86"/>
  <c r="C301" i="86"/>
  <c r="C300" i="86"/>
  <c r="C300" i="57"/>
  <c r="W14" i="86" l="1"/>
  <c r="Y14" i="86"/>
  <c r="AA14" i="86"/>
  <c r="AB14" i="86" s="1"/>
  <c r="W15" i="86"/>
  <c r="Y15" i="86"/>
  <c r="AA15" i="86"/>
  <c r="AB15" i="86" s="1"/>
  <c r="W16" i="86"/>
  <c r="Y16" i="86"/>
  <c r="AA16" i="86"/>
  <c r="AB16" i="86" s="1"/>
  <c r="AF14" i="86"/>
  <c r="AH14" i="86"/>
  <c r="AJ14" i="86"/>
  <c r="AI14" i="86" s="1"/>
  <c r="AL14" i="86"/>
  <c r="AK14" i="86" s="1"/>
  <c r="AN14" i="86"/>
  <c r="AM14" i="86" s="1"/>
  <c r="AP14" i="86"/>
  <c r="AO14" i="86" s="1"/>
  <c r="AF15" i="86"/>
  <c r="AH15" i="86"/>
  <c r="AJ15" i="86"/>
  <c r="AI15" i="86" s="1"/>
  <c r="AL15" i="86"/>
  <c r="AK15" i="86" s="1"/>
  <c r="AN15" i="86"/>
  <c r="AM15" i="86" s="1"/>
  <c r="AP15" i="86"/>
  <c r="AO15" i="86" s="1"/>
  <c r="AF16" i="86"/>
  <c r="AH16" i="86"/>
  <c r="AG16" i="86" s="1"/>
  <c r="AJ16" i="86"/>
  <c r="AL16" i="86"/>
  <c r="AN16" i="86"/>
  <c r="AM16" i="86" s="1"/>
  <c r="AP16" i="86"/>
  <c r="AO16" i="86" s="1"/>
  <c r="AP13" i="86"/>
  <c r="AO13" i="86" s="1"/>
  <c r="AN13" i="86"/>
  <c r="AM13" i="86" s="1"/>
  <c r="AL13" i="86"/>
  <c r="AK13" i="86" s="1"/>
  <c r="AJ13" i="86"/>
  <c r="AI13" i="86" s="1"/>
  <c r="AH13" i="86"/>
  <c r="AF13" i="86"/>
  <c r="AA13" i="86"/>
  <c r="Y13" i="86"/>
  <c r="AB13" i="86" s="1"/>
  <c r="W13" i="86"/>
  <c r="AP12" i="86"/>
  <c r="AO12" i="86" s="1"/>
  <c r="AN12" i="86"/>
  <c r="AM12" i="86" s="1"/>
  <c r="AL12" i="86"/>
  <c r="AK12" i="86" s="1"/>
  <c r="AJ12" i="86"/>
  <c r="AI12" i="86" s="1"/>
  <c r="AH12" i="86"/>
  <c r="AF12" i="86"/>
  <c r="AA12" i="86"/>
  <c r="Y12" i="86"/>
  <c r="AB12" i="86" s="1"/>
  <c r="W12" i="86"/>
  <c r="AP11" i="86"/>
  <c r="AO11" i="86" s="1"/>
  <c r="AN11" i="86"/>
  <c r="AM11" i="86" s="1"/>
  <c r="AL11" i="86"/>
  <c r="AK11" i="86" s="1"/>
  <c r="AJ11" i="86"/>
  <c r="AI11" i="86" s="1"/>
  <c r="AH11" i="86"/>
  <c r="AF11" i="86"/>
  <c r="AA11" i="86"/>
  <c r="Y11" i="86"/>
  <c r="AB11" i="86" s="1"/>
  <c r="W11" i="86"/>
  <c r="AP10" i="86"/>
  <c r="AO10" i="86" s="1"/>
  <c r="AN10" i="86"/>
  <c r="AM10" i="86" s="1"/>
  <c r="AL10" i="86"/>
  <c r="AK10" i="86" s="1"/>
  <c r="AJ10" i="86"/>
  <c r="AI10" i="86" s="1"/>
  <c r="AH10" i="86"/>
  <c r="AF10" i="86"/>
  <c r="AA10" i="86"/>
  <c r="Y10" i="86"/>
  <c r="AB10" i="86" s="1"/>
  <c r="W10" i="86"/>
  <c r="AP9" i="86"/>
  <c r="AO9" i="86" s="1"/>
  <c r="AN9" i="86"/>
  <c r="AM9" i="86" s="1"/>
  <c r="AL9" i="86"/>
  <c r="AK9" i="86" s="1"/>
  <c r="AJ9" i="86"/>
  <c r="AI9" i="86" s="1"/>
  <c r="AH9" i="86"/>
  <c r="AF9" i="86"/>
  <c r="AA9" i="86"/>
  <c r="Y9" i="86"/>
  <c r="AB9" i="86" s="1"/>
  <c r="W9" i="86"/>
  <c r="AP8" i="86"/>
  <c r="AO8" i="86" s="1"/>
  <c r="AN8" i="86"/>
  <c r="AM8" i="86" s="1"/>
  <c r="AL8" i="86"/>
  <c r="AK8" i="86" s="1"/>
  <c r="AJ8" i="86"/>
  <c r="AI8" i="86" s="1"/>
  <c r="AH8" i="86"/>
  <c r="AF8" i="86"/>
  <c r="AA8" i="86"/>
  <c r="Y8" i="86"/>
  <c r="AB8" i="86" s="1"/>
  <c r="W8" i="86"/>
  <c r="AP7" i="86"/>
  <c r="AO7" i="86" s="1"/>
  <c r="AN7" i="86"/>
  <c r="AM7" i="86" s="1"/>
  <c r="AL7" i="86"/>
  <c r="AK7" i="86" s="1"/>
  <c r="AJ7" i="86"/>
  <c r="AI7" i="86" s="1"/>
  <c r="AH7" i="86"/>
  <c r="AF7" i="86"/>
  <c r="AA7" i="86"/>
  <c r="Y7" i="86"/>
  <c r="AB7" i="86" s="1"/>
  <c r="W7" i="86"/>
  <c r="L75" i="7" l="1"/>
  <c r="Q52" i="16" l="1"/>
  <c r="S3" i="16"/>
  <c r="AD4" i="16" l="1"/>
  <c r="AC4" i="16"/>
  <c r="M65" i="7" l="1"/>
  <c r="M67" i="7"/>
  <c r="F18" i="8"/>
  <c r="A1" i="86" l="1"/>
  <c r="B306" i="86" s="1"/>
  <c r="B308" i="86"/>
  <c r="B309" i="86"/>
  <c r="B302" i="86"/>
  <c r="B301" i="86"/>
  <c r="B305" i="86"/>
  <c r="K103" i="7"/>
  <c r="K84" i="7"/>
  <c r="K48" i="7"/>
  <c r="B303" i="86" l="1"/>
  <c r="B304" i="86"/>
  <c r="B300" i="86"/>
  <c r="B307" i="86"/>
  <c r="AD9" i="16"/>
  <c r="AD13" i="16"/>
  <c r="AD15" i="16"/>
  <c r="AD12" i="16"/>
  <c r="AD19" i="16"/>
  <c r="AD23" i="16"/>
  <c r="AD17" i="16"/>
  <c r="AD21" i="16"/>
  <c r="AD24" i="16"/>
  <c r="AD28" i="16"/>
  <c r="AD45" i="16"/>
  <c r="AD27" i="16"/>
  <c r="AD34" i="16"/>
  <c r="AD38" i="16"/>
  <c r="AD41" i="16"/>
  <c r="AD40" i="16"/>
  <c r="AD46" i="16"/>
  <c r="AD39" i="16"/>
  <c r="AD36" i="16"/>
  <c r="AD48" i="16"/>
  <c r="AD43" i="16"/>
  <c r="AD29" i="16"/>
  <c r="AD10" i="16"/>
  <c r="AD7" i="16"/>
  <c r="AD16" i="16"/>
  <c r="AD11" i="16"/>
  <c r="AD8" i="16"/>
  <c r="AD30" i="16"/>
  <c r="AD18" i="16"/>
  <c r="AD20" i="16"/>
  <c r="AD37" i="16"/>
  <c r="AD25" i="16"/>
  <c r="AD44" i="16"/>
  <c r="AD14" i="16"/>
  <c r="AD22" i="16"/>
  <c r="AD32" i="16"/>
  <c r="AD49" i="16"/>
  <c r="AD26" i="16"/>
  <c r="AD47" i="16"/>
  <c r="AD50" i="16"/>
  <c r="AD42" i="16"/>
  <c r="AD51" i="16"/>
  <c r="AD35" i="16"/>
  <c r="AD31" i="16"/>
  <c r="AD33" i="16"/>
  <c r="M103" i="7"/>
  <c r="M84" i="7" l="1"/>
  <c r="C300" i="82" l="1"/>
  <c r="C301" i="83"/>
  <c r="C302" i="83"/>
  <c r="C303" i="83"/>
  <c r="C304" i="83"/>
  <c r="C305" i="83"/>
  <c r="C306" i="83"/>
  <c r="C300" i="83"/>
  <c r="C301" i="55"/>
  <c r="C302" i="55"/>
  <c r="C303" i="55"/>
  <c r="C304" i="55"/>
  <c r="C305" i="55"/>
  <c r="C306" i="55"/>
  <c r="C300" i="55"/>
  <c r="C301" i="82"/>
  <c r="C302" i="82"/>
  <c r="C303" i="82"/>
  <c r="C304" i="82"/>
  <c r="C305" i="82"/>
  <c r="C306" i="82"/>
  <c r="C307" i="82"/>
  <c r="C301" i="57"/>
  <c r="C302" i="57"/>
  <c r="C303" i="57"/>
  <c r="C304" i="57"/>
  <c r="C305" i="57"/>
  <c r="C306" i="57"/>
  <c r="C307" i="57"/>
  <c r="C308" i="57"/>
  <c r="C309" i="57"/>
  <c r="C310" i="57"/>
  <c r="C311" i="57"/>
  <c r="M93" i="7" l="1"/>
  <c r="M95" i="7"/>
  <c r="K95" i="7"/>
  <c r="M87" i="7"/>
  <c r="M89" i="7"/>
  <c r="M97" i="7"/>
  <c r="K97" i="7"/>
  <c r="K105" i="7"/>
  <c r="M86" i="7"/>
  <c r="K86" i="7"/>
  <c r="K76" i="7" l="1"/>
  <c r="K74" i="7"/>
  <c r="M62" i="7"/>
  <c r="K62" i="7"/>
  <c r="M64" i="7"/>
  <c r="K64" i="7"/>
  <c r="M55" i="7"/>
  <c r="M57" i="7"/>
  <c r="K57" i="7"/>
  <c r="K55" i="7"/>
  <c r="K52" i="7"/>
  <c r="K54" i="7"/>
  <c r="K51" i="7"/>
  <c r="W17" i="85" l="1"/>
  <c r="Y17" i="85"/>
  <c r="AA17" i="85"/>
  <c r="AF17" i="85"/>
  <c r="AH17" i="85"/>
  <c r="AJ17" i="85"/>
  <c r="AI17" i="85" s="1"/>
  <c r="AL17" i="85"/>
  <c r="AK17" i="85" s="1"/>
  <c r="AN17" i="85"/>
  <c r="AM17" i="85" s="1"/>
  <c r="AP17" i="85"/>
  <c r="AO17" i="85" s="1"/>
  <c r="W18" i="85"/>
  <c r="Y18" i="85"/>
  <c r="AA18" i="85"/>
  <c r="AB18" i="85" s="1"/>
  <c r="AF18" i="85"/>
  <c r="AH18" i="85"/>
  <c r="AJ18" i="85"/>
  <c r="AI18" i="85" s="1"/>
  <c r="AL18" i="85"/>
  <c r="AK18" i="85" s="1"/>
  <c r="AN18" i="85"/>
  <c r="AM18" i="85" s="1"/>
  <c r="AP18" i="85"/>
  <c r="AO18" i="85" s="1"/>
  <c r="W19" i="85"/>
  <c r="Y19" i="85"/>
  <c r="AA19" i="85"/>
  <c r="AF19" i="85"/>
  <c r="AH19" i="85"/>
  <c r="AJ19" i="85"/>
  <c r="AI19" i="85" s="1"/>
  <c r="AL19" i="85"/>
  <c r="AK19" i="85" s="1"/>
  <c r="AN19" i="85"/>
  <c r="AM19" i="85" s="1"/>
  <c r="AP19" i="85"/>
  <c r="AO19" i="85" s="1"/>
  <c r="AP16" i="85"/>
  <c r="AO16" i="85" s="1"/>
  <c r="AN16" i="85"/>
  <c r="AM16" i="85" s="1"/>
  <c r="AL16" i="85"/>
  <c r="AK16" i="85" s="1"/>
  <c r="AJ16" i="85"/>
  <c r="AI16" i="85" s="1"/>
  <c r="AH16" i="85"/>
  <c r="AF16" i="85"/>
  <c r="AA16" i="85"/>
  <c r="Y16" i="85"/>
  <c r="W16" i="85"/>
  <c r="AP15" i="85"/>
  <c r="AO15" i="85" s="1"/>
  <c r="AN15" i="85"/>
  <c r="AM15" i="85" s="1"/>
  <c r="AL15" i="85"/>
  <c r="AK15" i="85" s="1"/>
  <c r="AJ15" i="85"/>
  <c r="AI15" i="85" s="1"/>
  <c r="AH15" i="85"/>
  <c r="AF15" i="85"/>
  <c r="AA15" i="85"/>
  <c r="Y15" i="85"/>
  <c r="W15" i="85"/>
  <c r="AP14" i="85"/>
  <c r="AO14" i="85" s="1"/>
  <c r="AN14" i="85"/>
  <c r="AM14" i="85" s="1"/>
  <c r="AL14" i="85"/>
  <c r="AK14" i="85" s="1"/>
  <c r="AJ14" i="85"/>
  <c r="AI14" i="85" s="1"/>
  <c r="AH14" i="85"/>
  <c r="AF14" i="85"/>
  <c r="AA14" i="85"/>
  <c r="Y14" i="85"/>
  <c r="W14" i="85"/>
  <c r="AP13" i="85"/>
  <c r="AO13" i="85" s="1"/>
  <c r="AN13" i="85"/>
  <c r="AM13" i="85" s="1"/>
  <c r="AL13" i="85"/>
  <c r="AK13" i="85" s="1"/>
  <c r="AJ13" i="85"/>
  <c r="AI13" i="85" s="1"/>
  <c r="AH13" i="85"/>
  <c r="AF13" i="85"/>
  <c r="AA13" i="85"/>
  <c r="Y13" i="85"/>
  <c r="W13" i="85"/>
  <c r="AP12" i="85"/>
  <c r="AO12" i="85" s="1"/>
  <c r="AN12" i="85"/>
  <c r="AM12" i="85" s="1"/>
  <c r="AL12" i="85"/>
  <c r="AK12" i="85" s="1"/>
  <c r="AJ12" i="85"/>
  <c r="AI12" i="85" s="1"/>
  <c r="AH12" i="85"/>
  <c r="AF12" i="85"/>
  <c r="AA12" i="85"/>
  <c r="Y12" i="85"/>
  <c r="W12" i="85"/>
  <c r="AP11" i="85"/>
  <c r="AO11" i="85" s="1"/>
  <c r="AN11" i="85"/>
  <c r="AM11" i="85" s="1"/>
  <c r="AL11" i="85"/>
  <c r="AK11" i="85" s="1"/>
  <c r="AJ11" i="85"/>
  <c r="AI11" i="85" s="1"/>
  <c r="AH11" i="85"/>
  <c r="AF11" i="85"/>
  <c r="AA11" i="85"/>
  <c r="Y11" i="85"/>
  <c r="W11" i="85"/>
  <c r="AP10" i="85"/>
  <c r="AO10" i="85" s="1"/>
  <c r="AN10" i="85"/>
  <c r="AM10" i="85" s="1"/>
  <c r="AL10" i="85"/>
  <c r="AK10" i="85" s="1"/>
  <c r="AJ10" i="85"/>
  <c r="AI10" i="85" s="1"/>
  <c r="AH10" i="85"/>
  <c r="AF10" i="85"/>
  <c r="AA10" i="85"/>
  <c r="Y10" i="85"/>
  <c r="W10" i="85"/>
  <c r="AP9" i="85"/>
  <c r="AO9" i="85" s="1"/>
  <c r="AN9" i="85"/>
  <c r="AM9" i="85" s="1"/>
  <c r="AL9" i="85"/>
  <c r="AK9" i="85" s="1"/>
  <c r="AJ9" i="85"/>
  <c r="AI9" i="85" s="1"/>
  <c r="AH9" i="85"/>
  <c r="AF9" i="85"/>
  <c r="AA9" i="85"/>
  <c r="Y9" i="85"/>
  <c r="W9" i="85"/>
  <c r="AP8" i="85"/>
  <c r="AO8" i="85" s="1"/>
  <c r="AN8" i="85"/>
  <c r="AM8" i="85" s="1"/>
  <c r="AL8" i="85"/>
  <c r="AK8" i="85" s="1"/>
  <c r="AJ8" i="85"/>
  <c r="AI8" i="85" s="1"/>
  <c r="AH8" i="85"/>
  <c r="AF8" i="85"/>
  <c r="AA8" i="85"/>
  <c r="Y8" i="85"/>
  <c r="W8" i="85"/>
  <c r="AP7" i="85"/>
  <c r="AO7" i="85" s="1"/>
  <c r="AN7" i="85"/>
  <c r="AM7" i="85" s="1"/>
  <c r="AL7" i="85"/>
  <c r="AK7" i="85" s="1"/>
  <c r="AJ7" i="85"/>
  <c r="AI7" i="85" s="1"/>
  <c r="AH7" i="85"/>
  <c r="AF7" i="85"/>
  <c r="AA7" i="85"/>
  <c r="Y7" i="85"/>
  <c r="W7" i="85"/>
  <c r="AH13" i="83"/>
  <c r="AH12" i="83"/>
  <c r="AH11" i="83"/>
  <c r="AH10" i="83"/>
  <c r="AH9" i="83"/>
  <c r="AH8" i="83"/>
  <c r="AH7" i="83"/>
  <c r="AI6" i="16"/>
  <c r="AH6" i="16"/>
  <c r="AG6" i="16"/>
  <c r="AF6" i="16"/>
  <c r="AE6" i="16"/>
  <c r="AD6" i="16"/>
  <c r="AC6" i="16"/>
  <c r="AB6" i="16"/>
  <c r="AA6" i="16"/>
  <c r="Z6" i="16"/>
  <c r="AY10" i="16" l="1"/>
  <c r="AY13" i="16"/>
  <c r="AY16" i="16"/>
  <c r="AY7" i="16"/>
  <c r="AY11" i="16"/>
  <c r="AY8" i="16"/>
  <c r="AY30" i="16"/>
  <c r="AY18" i="16"/>
  <c r="AY20" i="16"/>
  <c r="AY37" i="16"/>
  <c r="AY25" i="16"/>
  <c r="AY9" i="16"/>
  <c r="AY15" i="16"/>
  <c r="AY12" i="16"/>
  <c r="AY19" i="16"/>
  <c r="AY23" i="16"/>
  <c r="AY17" i="16"/>
  <c r="AY21" i="16"/>
  <c r="AY24" i="16"/>
  <c r="BA10" i="16"/>
  <c r="BA13" i="16"/>
  <c r="BA11" i="16"/>
  <c r="BC10" i="16"/>
  <c r="BC13" i="16"/>
  <c r="BC11" i="16"/>
  <c r="AZ10" i="16"/>
  <c r="AZ13" i="16"/>
  <c r="AZ11" i="16"/>
  <c r="BB10" i="16"/>
  <c r="BB11" i="16"/>
  <c r="BB13" i="16"/>
  <c r="BD10" i="16"/>
  <c r="BD13" i="16"/>
  <c r="BD11" i="16"/>
  <c r="AB19" i="85"/>
  <c r="AB17" i="85"/>
  <c r="AB16" i="85"/>
  <c r="AB7" i="85"/>
  <c r="AB9" i="85"/>
  <c r="AB11" i="85"/>
  <c r="AB13" i="85"/>
  <c r="AB15" i="85"/>
  <c r="AB8" i="85"/>
  <c r="AB10" i="85"/>
  <c r="AB12" i="85"/>
  <c r="AB14" i="85"/>
  <c r="AF15" i="57" l="1"/>
  <c r="AH15" i="57"/>
  <c r="AJ15" i="57"/>
  <c r="AI15" i="57" s="1"/>
  <c r="AL15" i="57"/>
  <c r="AK15" i="57" s="1"/>
  <c r="AN15" i="57"/>
  <c r="AM15" i="57" s="1"/>
  <c r="AP15" i="57"/>
  <c r="AO15" i="57" s="1"/>
  <c r="V44" i="16"/>
  <c r="AA44" i="16"/>
  <c r="AZ44" i="16"/>
  <c r="BB44" i="16"/>
  <c r="BD44" i="16"/>
  <c r="AM44" i="16"/>
  <c r="AY44" i="16"/>
  <c r="BA44" i="16"/>
  <c r="BC44" i="16"/>
  <c r="V38" i="16"/>
  <c r="AA38" i="16"/>
  <c r="AY38" i="16"/>
  <c r="AZ38" i="16"/>
  <c r="BA38" i="16"/>
  <c r="BC38" i="16"/>
  <c r="BD38" i="16"/>
  <c r="AM38" i="16"/>
  <c r="BB38" i="16"/>
  <c r="AV44" i="16" l="1"/>
  <c r="AV38" i="16"/>
  <c r="AM13" i="16"/>
  <c r="AM9" i="16"/>
  <c r="AM7" i="16"/>
  <c r="AM16" i="16"/>
  <c r="AM15" i="16"/>
  <c r="AM11" i="16"/>
  <c r="AM12" i="16"/>
  <c r="AM8" i="16"/>
  <c r="AM30" i="16"/>
  <c r="AM23" i="16"/>
  <c r="AM18" i="16"/>
  <c r="AM19" i="16"/>
  <c r="AM17" i="16"/>
  <c r="AM24" i="16"/>
  <c r="AM37" i="16"/>
  <c r="AM20" i="16"/>
  <c r="AM21" i="16"/>
  <c r="AM45" i="16"/>
  <c r="AM14" i="16"/>
  <c r="AM28" i="16"/>
  <c r="AM41" i="16"/>
  <c r="AM25" i="16"/>
  <c r="AM27" i="16"/>
  <c r="AM22" i="16"/>
  <c r="AM34" i="16"/>
  <c r="AM32" i="16"/>
  <c r="AM49" i="16"/>
  <c r="AM26" i="16"/>
  <c r="AM40" i="16"/>
  <c r="AM47" i="16"/>
  <c r="AM50" i="16"/>
  <c r="AM46" i="16"/>
  <c r="AM39" i="16"/>
  <c r="AM42" i="16"/>
  <c r="AM36" i="16"/>
  <c r="AM48" i="16"/>
  <c r="AM51" i="16"/>
  <c r="AM43" i="16"/>
  <c r="AM35" i="16"/>
  <c r="AM31" i="16"/>
  <c r="AM33" i="16"/>
  <c r="AM29" i="16"/>
  <c r="V19" i="16" l="1"/>
  <c r="AA19" i="16"/>
  <c r="AZ19" i="16"/>
  <c r="BA19" i="16"/>
  <c r="BB19" i="16"/>
  <c r="BC19" i="16"/>
  <c r="BD19" i="16"/>
  <c r="AA20" i="16"/>
  <c r="AA21" i="16"/>
  <c r="AA31" i="16"/>
  <c r="AA8" i="16"/>
  <c r="AA26" i="16"/>
  <c r="AA47" i="16"/>
  <c r="AA13" i="16"/>
  <c r="AA48" i="16"/>
  <c r="AA15" i="16"/>
  <c r="AA24" i="16"/>
  <c r="AA46" i="16"/>
  <c r="AA36" i="16"/>
  <c r="AA11" i="16"/>
  <c r="AA34" i="16"/>
  <c r="AA32" i="16"/>
  <c r="AA45" i="16"/>
  <c r="AA30" i="16"/>
  <c r="AA41" i="16"/>
  <c r="AA42" i="16"/>
  <c r="AA7" i="16"/>
  <c r="AA40" i="16"/>
  <c r="AA10" i="16"/>
  <c r="AA43" i="16"/>
  <c r="AA33" i="16"/>
  <c r="AA23" i="16"/>
  <c r="AA37" i="16"/>
  <c r="AA22" i="16"/>
  <c r="AA25" i="16"/>
  <c r="AA39" i="16"/>
  <c r="AA35" i="16"/>
  <c r="AA50" i="16"/>
  <c r="AA29" i="16"/>
  <c r="AA17" i="16"/>
  <c r="AA14" i="16"/>
  <c r="AA27" i="16"/>
  <c r="AA49" i="16"/>
  <c r="AA28" i="16"/>
  <c r="AA9" i="16"/>
  <c r="AA51" i="16"/>
  <c r="AA16" i="16"/>
  <c r="AA18" i="16"/>
  <c r="AB4" i="16"/>
  <c r="AA4" i="16"/>
  <c r="Z4" i="16"/>
  <c r="AV18" i="16" l="1"/>
  <c r="AV17" i="16"/>
  <c r="AV23" i="16"/>
  <c r="AV30" i="16"/>
  <c r="AV11" i="16"/>
  <c r="AV15" i="16"/>
  <c r="AV13" i="16"/>
  <c r="AV20" i="16"/>
  <c r="AV19" i="16"/>
  <c r="AV16" i="16"/>
  <c r="AV9" i="16"/>
  <c r="AV25" i="16"/>
  <c r="AV37" i="16"/>
  <c r="AV10" i="16"/>
  <c r="AV7" i="16"/>
  <c r="AV24" i="16"/>
  <c r="AV8" i="16"/>
  <c r="AV21" i="16"/>
  <c r="W15" i="57"/>
  <c r="Y15" i="57"/>
  <c r="AA15" i="57"/>
  <c r="AB15" i="57" s="1"/>
  <c r="AH18" i="57"/>
  <c r="AH17" i="57"/>
  <c r="AH16" i="57"/>
  <c r="AH14" i="57"/>
  <c r="AH13" i="57"/>
  <c r="AH12" i="57"/>
  <c r="AH11" i="57"/>
  <c r="AH10" i="57"/>
  <c r="AH9" i="57"/>
  <c r="AH8" i="57"/>
  <c r="AH7" i="57"/>
  <c r="AF9" i="82"/>
  <c r="AH9" i="82"/>
  <c r="AJ9" i="82"/>
  <c r="AI9" i="82" s="1"/>
  <c r="AL9" i="82"/>
  <c r="AK9" i="82" s="1"/>
  <c r="AN9" i="82"/>
  <c r="AM9" i="82" s="1"/>
  <c r="AP9" i="82"/>
  <c r="AO9" i="82" s="1"/>
  <c r="AF10" i="82"/>
  <c r="AH10" i="82"/>
  <c r="AJ10" i="82"/>
  <c r="AI10" i="82" s="1"/>
  <c r="AL10" i="82"/>
  <c r="AK10" i="82" s="1"/>
  <c r="AN10" i="82"/>
  <c r="AM10" i="82" s="1"/>
  <c r="AP10" i="82"/>
  <c r="AO10" i="82" s="1"/>
  <c r="AF11" i="82"/>
  <c r="AH11" i="82"/>
  <c r="AJ11" i="82"/>
  <c r="AI11" i="82" s="1"/>
  <c r="AL11" i="82"/>
  <c r="AK11" i="82" s="1"/>
  <c r="AN11" i="82"/>
  <c r="AM11" i="82" s="1"/>
  <c r="AP11" i="82"/>
  <c r="AO11" i="82" s="1"/>
  <c r="AF12" i="82"/>
  <c r="AH12" i="82"/>
  <c r="AJ12" i="82"/>
  <c r="AI12" i="82" s="1"/>
  <c r="AL12" i="82"/>
  <c r="AK12" i="82" s="1"/>
  <c r="AN12" i="82"/>
  <c r="AM12" i="82" s="1"/>
  <c r="AP12" i="82"/>
  <c r="AO12" i="82" s="1"/>
  <c r="AF13" i="82"/>
  <c r="AH13" i="82"/>
  <c r="AJ13" i="82"/>
  <c r="AI13" i="82" s="1"/>
  <c r="AL13" i="82"/>
  <c r="AK13" i="82" s="1"/>
  <c r="AN13" i="82"/>
  <c r="AM13" i="82" s="1"/>
  <c r="AP13" i="82"/>
  <c r="AO13" i="82" s="1"/>
  <c r="AF14" i="82"/>
  <c r="AH14" i="82"/>
  <c r="AJ14" i="82"/>
  <c r="AI14" i="82" s="1"/>
  <c r="AL14" i="82"/>
  <c r="AK14" i="82" s="1"/>
  <c r="AN14" i="82"/>
  <c r="AM14" i="82" s="1"/>
  <c r="AP14" i="82"/>
  <c r="AO14" i="82" s="1"/>
  <c r="AP13" i="83"/>
  <c r="AO13" i="83" s="1"/>
  <c r="AN13" i="83"/>
  <c r="AM13" i="83" s="1"/>
  <c r="AL13" i="83"/>
  <c r="AJ13" i="83"/>
  <c r="AF13" i="83"/>
  <c r="AA13" i="83"/>
  <c r="Y13" i="83"/>
  <c r="W13" i="83"/>
  <c r="AP12" i="83"/>
  <c r="AO12" i="83" s="1"/>
  <c r="AN12" i="83"/>
  <c r="AM12" i="83" s="1"/>
  <c r="AL12" i="83"/>
  <c r="AJ12" i="83"/>
  <c r="AF12" i="83"/>
  <c r="AA12" i="83"/>
  <c r="Y12" i="83"/>
  <c r="W12" i="83"/>
  <c r="AP11" i="83"/>
  <c r="AO11" i="83" s="1"/>
  <c r="AN11" i="83"/>
  <c r="AM11" i="83" s="1"/>
  <c r="AL11" i="83"/>
  <c r="AJ11" i="83"/>
  <c r="AF11" i="83"/>
  <c r="AA11" i="83"/>
  <c r="Y11" i="83"/>
  <c r="W11" i="83"/>
  <c r="AP10" i="83"/>
  <c r="AO10" i="83" s="1"/>
  <c r="AN10" i="83"/>
  <c r="AM10" i="83" s="1"/>
  <c r="AL10" i="83"/>
  <c r="AJ10" i="83"/>
  <c r="AF10" i="83"/>
  <c r="AA10" i="83"/>
  <c r="Y10" i="83"/>
  <c r="W10" i="83"/>
  <c r="AP9" i="83"/>
  <c r="AO9" i="83" s="1"/>
  <c r="AN9" i="83"/>
  <c r="AM9" i="83" s="1"/>
  <c r="AL9" i="83"/>
  <c r="AJ9" i="83"/>
  <c r="AF9" i="83"/>
  <c r="AA9" i="83"/>
  <c r="Y9" i="83"/>
  <c r="W9" i="83"/>
  <c r="AP8" i="83"/>
  <c r="AO8" i="83" s="1"/>
  <c r="AN8" i="83"/>
  <c r="AM8" i="83" s="1"/>
  <c r="AL8" i="83"/>
  <c r="AJ8" i="83"/>
  <c r="AF8" i="83"/>
  <c r="AA8" i="83"/>
  <c r="Y8" i="83"/>
  <c r="W8" i="83"/>
  <c r="AP7" i="83"/>
  <c r="AO7" i="83" s="1"/>
  <c r="AN7" i="83"/>
  <c r="AM7" i="83" s="1"/>
  <c r="AL7" i="83"/>
  <c r="AJ7" i="83"/>
  <c r="AF7" i="83"/>
  <c r="AA7" i="83"/>
  <c r="Y7" i="83"/>
  <c r="W7" i="83"/>
  <c r="AP8" i="82"/>
  <c r="AO8" i="82" s="1"/>
  <c r="AN8" i="82"/>
  <c r="AM8" i="82" s="1"/>
  <c r="AL8" i="82"/>
  <c r="AK8" i="82" s="1"/>
  <c r="AJ8" i="82"/>
  <c r="AI8" i="82" s="1"/>
  <c r="AH8" i="82"/>
  <c r="AF8" i="82"/>
  <c r="AP7" i="82"/>
  <c r="AO7" i="82" s="1"/>
  <c r="AN7" i="82"/>
  <c r="AM7" i="82" s="1"/>
  <c r="AL7" i="82"/>
  <c r="AK7" i="82" s="1"/>
  <c r="AJ7" i="82"/>
  <c r="AI7" i="82" s="1"/>
  <c r="AH7" i="82"/>
  <c r="AF7" i="82"/>
  <c r="AB13" i="83" l="1"/>
  <c r="AB7" i="83"/>
  <c r="AB9" i="83"/>
  <c r="AB11" i="83"/>
  <c r="AB8" i="83"/>
  <c r="AB10" i="83"/>
  <c r="AB12" i="83"/>
  <c r="E16" i="8"/>
  <c r="F15" i="8"/>
  <c r="E15" i="8"/>
  <c r="A1" i="85" s="1"/>
  <c r="E10" i="8"/>
  <c r="F10" i="8"/>
  <c r="E14" i="8"/>
  <c r="E11" i="8"/>
  <c r="A1" i="55" s="1"/>
  <c r="F11" i="8"/>
  <c r="E12" i="8"/>
  <c r="F12" i="8"/>
  <c r="M36" i="7"/>
  <c r="M39" i="7"/>
  <c r="M60" i="7"/>
  <c r="M51" i="7"/>
  <c r="F9" i="8"/>
  <c r="E9" i="8"/>
  <c r="F6" i="8"/>
  <c r="K23" i="7"/>
  <c r="K29" i="7"/>
  <c r="K26" i="7"/>
  <c r="M54" i="7"/>
  <c r="K33" i="7"/>
  <c r="K31" i="7"/>
  <c r="M34" i="7"/>
  <c r="M37" i="7"/>
  <c r="I40" i="7"/>
  <c r="M58" i="7"/>
  <c r="M48" i="7"/>
  <c r="A1" i="82" l="1"/>
  <c r="B307" i="85"/>
  <c r="B309" i="85"/>
  <c r="B303" i="85"/>
  <c r="B308" i="85"/>
  <c r="B302" i="85"/>
  <c r="B298" i="85"/>
  <c r="B305" i="85"/>
  <c r="B310" i="85"/>
  <c r="B304" i="85"/>
  <c r="B299" i="85"/>
  <c r="B306" i="85"/>
  <c r="B300" i="85"/>
  <c r="B301" i="85"/>
  <c r="B300" i="82" l="1"/>
  <c r="B302" i="82"/>
  <c r="B304" i="82"/>
  <c r="B306" i="82"/>
  <c r="B301" i="82"/>
  <c r="B303" i="82"/>
  <c r="B305" i="82"/>
  <c r="B307" i="82"/>
  <c r="AZ20" i="16"/>
  <c r="BB20" i="16"/>
  <c r="BC20" i="16"/>
  <c r="AZ21" i="16"/>
  <c r="BB21" i="16"/>
  <c r="BC21" i="16"/>
  <c r="AZ8" i="16"/>
  <c r="BB8" i="16"/>
  <c r="BC8" i="16"/>
  <c r="AZ15" i="16"/>
  <c r="BB15" i="16"/>
  <c r="BC15" i="16"/>
  <c r="AZ24" i="16"/>
  <c r="BB24" i="16"/>
  <c r="BC24" i="16"/>
  <c r="AZ30" i="16"/>
  <c r="BB30" i="16"/>
  <c r="BC30" i="16"/>
  <c r="AZ7" i="16"/>
  <c r="BB7" i="16"/>
  <c r="BC7" i="16"/>
  <c r="AZ25" i="16"/>
  <c r="BB25" i="16"/>
  <c r="BC25" i="16"/>
  <c r="AZ23" i="16"/>
  <c r="BB23" i="16"/>
  <c r="BC23" i="16"/>
  <c r="AZ37" i="16"/>
  <c r="BB37" i="16"/>
  <c r="BC37" i="16"/>
  <c r="AZ17" i="16"/>
  <c r="BB17" i="16"/>
  <c r="BC17" i="16"/>
  <c r="AZ9" i="16"/>
  <c r="BB9" i="16"/>
  <c r="BC9" i="16"/>
  <c r="AZ16" i="16"/>
  <c r="BB16" i="16"/>
  <c r="BC16" i="16"/>
  <c r="AZ18" i="16"/>
  <c r="BB18" i="16"/>
  <c r="BC18" i="16"/>
  <c r="Z44" i="16" l="1"/>
  <c r="Z20" i="16"/>
  <c r="Z13" i="16"/>
  <c r="Z24" i="16"/>
  <c r="Z34" i="16"/>
  <c r="Z30" i="16"/>
  <c r="Z33" i="16"/>
  <c r="Z22" i="16"/>
  <c r="Z35" i="16"/>
  <c r="Z17" i="16"/>
  <c r="Z49" i="16"/>
  <c r="Z19" i="16"/>
  <c r="Z21" i="16"/>
  <c r="Z46" i="16"/>
  <c r="Z32" i="16"/>
  <c r="Z41" i="16"/>
  <c r="Z40" i="16"/>
  <c r="Z23" i="16"/>
  <c r="Z50" i="16"/>
  <c r="Z14" i="16"/>
  <c r="Z9" i="16"/>
  <c r="Z51" i="16"/>
  <c r="Z16" i="16"/>
  <c r="Z18" i="16"/>
  <c r="Z38" i="16"/>
  <c r="Z31" i="16"/>
  <c r="Z26" i="16"/>
  <c r="Z48" i="16"/>
  <c r="Z36" i="16"/>
  <c r="Z42" i="16"/>
  <c r="Z10" i="16"/>
  <c r="Z37" i="16"/>
  <c r="Z25" i="16"/>
  <c r="Z28" i="16"/>
  <c r="Z12" i="16"/>
  <c r="Z8" i="16"/>
  <c r="Z47" i="16"/>
  <c r="Z15" i="16"/>
  <c r="Z11" i="16"/>
  <c r="Z45" i="16"/>
  <c r="Z7" i="16"/>
  <c r="Z43" i="16"/>
  <c r="Z39" i="16"/>
  <c r="Z29" i="16"/>
  <c r="Z27" i="16"/>
  <c r="V27" i="16"/>
  <c r="AU15" i="16" l="1"/>
  <c r="AU8" i="16"/>
  <c r="AU37" i="16"/>
  <c r="AU18" i="16"/>
  <c r="AU23" i="16"/>
  <c r="AU19" i="16"/>
  <c r="AU17" i="16"/>
  <c r="AU30" i="16"/>
  <c r="AU24" i="16"/>
  <c r="AU20" i="16"/>
  <c r="AU7" i="16"/>
  <c r="AU11" i="16"/>
  <c r="AU12" i="16"/>
  <c r="AU25" i="16"/>
  <c r="AU16" i="16"/>
  <c r="AU9" i="16"/>
  <c r="AU21" i="16"/>
  <c r="AU13" i="16"/>
  <c r="AU10" i="16"/>
  <c r="AU38" i="16"/>
  <c r="AU44" i="16"/>
  <c r="BC12" i="16" l="1"/>
  <c r="V18" i="16" l="1"/>
  <c r="BB12" i="16" l="1"/>
  <c r="P52" i="16" l="1"/>
  <c r="AH8" i="55" l="1"/>
  <c r="AH9" i="55"/>
  <c r="AH10" i="55"/>
  <c r="AH11" i="55"/>
  <c r="AH12" i="55"/>
  <c r="AH13" i="55"/>
  <c r="AH14" i="55"/>
  <c r="AH15" i="55"/>
  <c r="AH16" i="55"/>
  <c r="AH17" i="55"/>
  <c r="AH18" i="55"/>
  <c r="AH19" i="55"/>
  <c r="AH20" i="55"/>
  <c r="AH21" i="55"/>
  <c r="AH22" i="55"/>
  <c r="AH23" i="55"/>
  <c r="AH24" i="55"/>
  <c r="AH25" i="55"/>
  <c r="AH26" i="55"/>
  <c r="AH27" i="55"/>
  <c r="AH28" i="55"/>
  <c r="AH29" i="55"/>
  <c r="AH30" i="55"/>
  <c r="AH31" i="55"/>
  <c r="AH32" i="55"/>
  <c r="AH33" i="55"/>
  <c r="AH34" i="55"/>
  <c r="AH35" i="55"/>
  <c r="AH36" i="55"/>
  <c r="AH37" i="55"/>
  <c r="AH38" i="55"/>
  <c r="AH39" i="55"/>
  <c r="AH40" i="55"/>
  <c r="AH41" i="55"/>
  <c r="AH42" i="55"/>
  <c r="AH43" i="55"/>
  <c r="AH44" i="55"/>
  <c r="AH7" i="55"/>
  <c r="AF8" i="55" l="1"/>
  <c r="AJ8" i="55"/>
  <c r="AI8" i="55" s="1"/>
  <c r="AL8" i="55"/>
  <c r="AK8" i="55" s="1"/>
  <c r="AN8" i="55"/>
  <c r="AM8" i="55" s="1"/>
  <c r="AP8" i="55"/>
  <c r="AO8" i="55" s="1"/>
  <c r="AF9" i="55"/>
  <c r="AG9" i="55"/>
  <c r="AJ9" i="55"/>
  <c r="AL9" i="55"/>
  <c r="AN9" i="55"/>
  <c r="AM9" i="55" s="1"/>
  <c r="AP9" i="55"/>
  <c r="AO9" i="55" s="1"/>
  <c r="AF10" i="55"/>
  <c r="AE10" i="55" s="1"/>
  <c r="AG10" i="55"/>
  <c r="AJ10" i="55"/>
  <c r="AI10" i="55" s="1"/>
  <c r="AL10" i="55"/>
  <c r="AK10" i="55" s="1"/>
  <c r="AN10" i="55"/>
  <c r="AM10" i="55" s="1"/>
  <c r="AP10" i="55"/>
  <c r="AO10" i="55" s="1"/>
  <c r="AF11" i="55"/>
  <c r="AE11" i="55" s="1"/>
  <c r="AG11" i="55"/>
  <c r="AJ11" i="55"/>
  <c r="AI11" i="55" s="1"/>
  <c r="AL11" i="55"/>
  <c r="AK11" i="55" s="1"/>
  <c r="AN11" i="55"/>
  <c r="AM11" i="55" s="1"/>
  <c r="AP11" i="55"/>
  <c r="AO11" i="55" s="1"/>
  <c r="AF12" i="55"/>
  <c r="AE12" i="55" s="1"/>
  <c r="AG12" i="55"/>
  <c r="AJ12" i="55"/>
  <c r="AI12" i="55" s="1"/>
  <c r="AL12" i="55"/>
  <c r="AK12" i="55" s="1"/>
  <c r="AN12" i="55"/>
  <c r="AM12" i="55" s="1"/>
  <c r="AP12" i="55"/>
  <c r="AO12" i="55" s="1"/>
  <c r="AF13" i="55"/>
  <c r="AE13" i="55" s="1"/>
  <c r="AG13" i="55"/>
  <c r="AJ13" i="55"/>
  <c r="AI13" i="55" s="1"/>
  <c r="AL13" i="55"/>
  <c r="AK13" i="55" s="1"/>
  <c r="AN13" i="55"/>
  <c r="AM13" i="55" s="1"/>
  <c r="AP13" i="55"/>
  <c r="AO13" i="55" s="1"/>
  <c r="AF14" i="55"/>
  <c r="AJ14" i="55"/>
  <c r="AI14" i="55" s="1"/>
  <c r="AL14" i="55"/>
  <c r="AK14" i="55" s="1"/>
  <c r="AN14" i="55"/>
  <c r="AM14" i="55" s="1"/>
  <c r="AP14" i="55"/>
  <c r="AO14" i="55" s="1"/>
  <c r="AF15" i="55"/>
  <c r="AJ15" i="55"/>
  <c r="AI15" i="55" s="1"/>
  <c r="AL15" i="55"/>
  <c r="AK15" i="55" s="1"/>
  <c r="AN15" i="55"/>
  <c r="AM15" i="55" s="1"/>
  <c r="AP15" i="55"/>
  <c r="AO15" i="55" s="1"/>
  <c r="AF16" i="55"/>
  <c r="AJ16" i="55"/>
  <c r="AI16" i="55" s="1"/>
  <c r="AL16" i="55"/>
  <c r="AK16" i="55" s="1"/>
  <c r="AN16" i="55"/>
  <c r="AM16" i="55" s="1"/>
  <c r="AP16" i="55"/>
  <c r="AO16" i="55" s="1"/>
  <c r="AF17" i="55"/>
  <c r="AE17" i="55" s="1"/>
  <c r="AG17" i="55"/>
  <c r="AJ17" i="55"/>
  <c r="AI17" i="55" s="1"/>
  <c r="AL17" i="55"/>
  <c r="AK17" i="55" s="1"/>
  <c r="AN17" i="55"/>
  <c r="AM17" i="55" s="1"/>
  <c r="AP17" i="55"/>
  <c r="AO17" i="55" s="1"/>
  <c r="AF18" i="55"/>
  <c r="AE18" i="55" s="1"/>
  <c r="AG18" i="55"/>
  <c r="AJ18" i="55"/>
  <c r="AI18" i="55" s="1"/>
  <c r="AL18" i="55"/>
  <c r="AK18" i="55" s="1"/>
  <c r="AN18" i="55"/>
  <c r="AM18" i="55" s="1"/>
  <c r="AP18" i="55"/>
  <c r="AO18" i="55" s="1"/>
  <c r="AF19" i="55"/>
  <c r="AE19" i="55" s="1"/>
  <c r="AG19" i="55"/>
  <c r="AJ19" i="55"/>
  <c r="AI19" i="55" s="1"/>
  <c r="AL19" i="55"/>
  <c r="AK19" i="55" s="1"/>
  <c r="AN19" i="55"/>
  <c r="AM19" i="55" s="1"/>
  <c r="AP19" i="55"/>
  <c r="AO19" i="55" s="1"/>
  <c r="AF20" i="55"/>
  <c r="AE20" i="55" s="1"/>
  <c r="AG20" i="55"/>
  <c r="AJ20" i="55"/>
  <c r="AI20" i="55" s="1"/>
  <c r="AL20" i="55"/>
  <c r="AK20" i="55" s="1"/>
  <c r="AN20" i="55"/>
  <c r="AM20" i="55" s="1"/>
  <c r="AP20" i="55"/>
  <c r="AO20" i="55" s="1"/>
  <c r="AF21" i="55"/>
  <c r="AJ21" i="55"/>
  <c r="AI21" i="55" s="1"/>
  <c r="AL21" i="55"/>
  <c r="AK21" i="55" s="1"/>
  <c r="AN21" i="55"/>
  <c r="AM21" i="55" s="1"/>
  <c r="AP21" i="55"/>
  <c r="AO21" i="55" s="1"/>
  <c r="AF22" i="55"/>
  <c r="AJ22" i="55"/>
  <c r="AI22" i="55" s="1"/>
  <c r="AL22" i="55"/>
  <c r="AK22" i="55" s="1"/>
  <c r="AN22" i="55"/>
  <c r="AM22" i="55" s="1"/>
  <c r="AP22" i="55"/>
  <c r="AO22" i="55" s="1"/>
  <c r="AF23" i="55"/>
  <c r="AJ23" i="55"/>
  <c r="AI23" i="55" s="1"/>
  <c r="AL23" i="55"/>
  <c r="AK23" i="55" s="1"/>
  <c r="AN23" i="55"/>
  <c r="AM23" i="55" s="1"/>
  <c r="AP23" i="55"/>
  <c r="AO23" i="55" s="1"/>
  <c r="AF24" i="55"/>
  <c r="AE24" i="55" s="1"/>
  <c r="AG24" i="55"/>
  <c r="AJ24" i="55"/>
  <c r="AI24" i="55" s="1"/>
  <c r="AL24" i="55"/>
  <c r="AK24" i="55" s="1"/>
  <c r="AN24" i="55"/>
  <c r="AM24" i="55" s="1"/>
  <c r="AP24" i="55"/>
  <c r="AO24" i="55" s="1"/>
  <c r="AF25" i="55"/>
  <c r="AE25" i="55" s="1"/>
  <c r="AG25" i="55"/>
  <c r="AJ25" i="55"/>
  <c r="AI25" i="55" s="1"/>
  <c r="AL25" i="55"/>
  <c r="AK25" i="55" s="1"/>
  <c r="AN25" i="55"/>
  <c r="AM25" i="55" s="1"/>
  <c r="AP25" i="55"/>
  <c r="AO25" i="55" s="1"/>
  <c r="AF26" i="55"/>
  <c r="AE26" i="55" s="1"/>
  <c r="AG26" i="55"/>
  <c r="AJ26" i="55"/>
  <c r="AI26" i="55" s="1"/>
  <c r="AL26" i="55"/>
  <c r="AK26" i="55" s="1"/>
  <c r="AN26" i="55"/>
  <c r="AM26" i="55" s="1"/>
  <c r="AP26" i="55"/>
  <c r="AO26" i="55" s="1"/>
  <c r="AF27" i="55"/>
  <c r="AE27" i="55" s="1"/>
  <c r="AG27" i="55"/>
  <c r="AJ27" i="55"/>
  <c r="AI27" i="55" s="1"/>
  <c r="AL27" i="55"/>
  <c r="AK27" i="55" s="1"/>
  <c r="AN27" i="55"/>
  <c r="AM27" i="55" s="1"/>
  <c r="AP27" i="55"/>
  <c r="AO27" i="55" s="1"/>
  <c r="AF28" i="55"/>
  <c r="AJ28" i="55"/>
  <c r="AI28" i="55" s="1"/>
  <c r="AL28" i="55"/>
  <c r="AK28" i="55" s="1"/>
  <c r="AN28" i="55"/>
  <c r="AM28" i="55" s="1"/>
  <c r="AP28" i="55"/>
  <c r="AO28" i="55" s="1"/>
  <c r="AF29" i="55"/>
  <c r="AJ29" i="55"/>
  <c r="AI29" i="55" s="1"/>
  <c r="AL29" i="55"/>
  <c r="AK29" i="55" s="1"/>
  <c r="AN29" i="55"/>
  <c r="AM29" i="55" s="1"/>
  <c r="AP29" i="55"/>
  <c r="AO29" i="55" s="1"/>
  <c r="AF30" i="55"/>
  <c r="AJ30" i="55"/>
  <c r="AI30" i="55" s="1"/>
  <c r="AL30" i="55"/>
  <c r="AK30" i="55" s="1"/>
  <c r="AN30" i="55"/>
  <c r="AM30" i="55" s="1"/>
  <c r="AP30" i="55"/>
  <c r="AO30" i="55" s="1"/>
  <c r="AF31" i="55"/>
  <c r="AE31" i="55" s="1"/>
  <c r="AG31" i="55"/>
  <c r="AJ31" i="55"/>
  <c r="AI31" i="55" s="1"/>
  <c r="AL31" i="55"/>
  <c r="AK31" i="55" s="1"/>
  <c r="AN31" i="55"/>
  <c r="AM31" i="55" s="1"/>
  <c r="AP31" i="55"/>
  <c r="AO31" i="55" s="1"/>
  <c r="AF32" i="55"/>
  <c r="AE32" i="55" s="1"/>
  <c r="AG32" i="55"/>
  <c r="AJ32" i="55"/>
  <c r="AI32" i="55" s="1"/>
  <c r="AL32" i="55"/>
  <c r="AK32" i="55" s="1"/>
  <c r="AN32" i="55"/>
  <c r="AM32" i="55" s="1"/>
  <c r="AP32" i="55"/>
  <c r="AO32" i="55" s="1"/>
  <c r="AF33" i="55"/>
  <c r="AE33" i="55" s="1"/>
  <c r="AG33" i="55"/>
  <c r="AJ33" i="55"/>
  <c r="AI33" i="55" s="1"/>
  <c r="AL33" i="55"/>
  <c r="AK33" i="55" s="1"/>
  <c r="AN33" i="55"/>
  <c r="AM33" i="55" s="1"/>
  <c r="AP33" i="55"/>
  <c r="AO33" i="55" s="1"/>
  <c r="AF34" i="55"/>
  <c r="AE34" i="55" s="1"/>
  <c r="AG34" i="55"/>
  <c r="AJ34" i="55"/>
  <c r="AI34" i="55" s="1"/>
  <c r="AL34" i="55"/>
  <c r="AK34" i="55" s="1"/>
  <c r="AN34" i="55"/>
  <c r="AM34" i="55" s="1"/>
  <c r="AP34" i="55"/>
  <c r="AO34" i="55" s="1"/>
  <c r="AF35" i="55"/>
  <c r="AG35" i="55"/>
  <c r="AJ35" i="55"/>
  <c r="AL35" i="55"/>
  <c r="AN35" i="55"/>
  <c r="AM35" i="55" s="1"/>
  <c r="AP35" i="55"/>
  <c r="AO35" i="55" s="1"/>
  <c r="AF36" i="55"/>
  <c r="AJ36" i="55"/>
  <c r="AI36" i="55" s="1"/>
  <c r="AL36" i="55"/>
  <c r="AK36" i="55" s="1"/>
  <c r="AN36" i="55"/>
  <c r="AM36" i="55" s="1"/>
  <c r="AP36" i="55"/>
  <c r="AO36" i="55" s="1"/>
  <c r="AF37" i="55"/>
  <c r="AG37" i="55"/>
  <c r="AJ37" i="55"/>
  <c r="AL37" i="55"/>
  <c r="AN37" i="55"/>
  <c r="AM37" i="55" s="1"/>
  <c r="AP37" i="55"/>
  <c r="AO37" i="55" s="1"/>
  <c r="AF38" i="55"/>
  <c r="AE38" i="55" s="1"/>
  <c r="AG38" i="55"/>
  <c r="AJ38" i="55"/>
  <c r="AI38" i="55" s="1"/>
  <c r="AL38" i="55"/>
  <c r="AK38" i="55" s="1"/>
  <c r="AN38" i="55"/>
  <c r="AM38" i="55" s="1"/>
  <c r="AP38" i="55"/>
  <c r="AO38" i="55" s="1"/>
  <c r="AF39" i="55"/>
  <c r="AE39" i="55" s="1"/>
  <c r="AG39" i="55"/>
  <c r="AJ39" i="55"/>
  <c r="AI39" i="55" s="1"/>
  <c r="AL39" i="55"/>
  <c r="AK39" i="55" s="1"/>
  <c r="AN39" i="55"/>
  <c r="AM39" i="55" s="1"/>
  <c r="AP39" i="55"/>
  <c r="AO39" i="55" s="1"/>
  <c r="AF40" i="55"/>
  <c r="AE40" i="55" s="1"/>
  <c r="AG40" i="55"/>
  <c r="AJ40" i="55"/>
  <c r="AI40" i="55" s="1"/>
  <c r="AL40" i="55"/>
  <c r="AK40" i="55" s="1"/>
  <c r="AN40" i="55"/>
  <c r="AM40" i="55" s="1"/>
  <c r="AP40" i="55"/>
  <c r="AO40" i="55" s="1"/>
  <c r="AF41" i="55"/>
  <c r="AE41" i="55" s="1"/>
  <c r="AG41" i="55"/>
  <c r="AJ41" i="55"/>
  <c r="AI41" i="55" s="1"/>
  <c r="AL41" i="55"/>
  <c r="AK41" i="55" s="1"/>
  <c r="AN41" i="55"/>
  <c r="AM41" i="55" s="1"/>
  <c r="AP41" i="55"/>
  <c r="AO41" i="55" s="1"/>
  <c r="AF42" i="55"/>
  <c r="AJ42" i="55"/>
  <c r="AI42" i="55" s="1"/>
  <c r="AL42" i="55"/>
  <c r="AK42" i="55" s="1"/>
  <c r="AN42" i="55"/>
  <c r="AM42" i="55" s="1"/>
  <c r="AP42" i="55"/>
  <c r="AO42" i="55" s="1"/>
  <c r="AF43" i="55"/>
  <c r="AJ43" i="55"/>
  <c r="AI43" i="55" s="1"/>
  <c r="AL43" i="55"/>
  <c r="AK43" i="55" s="1"/>
  <c r="AN43" i="55"/>
  <c r="AM43" i="55" s="1"/>
  <c r="AP43" i="55"/>
  <c r="AO43" i="55" s="1"/>
  <c r="AF44" i="55"/>
  <c r="AJ44" i="55"/>
  <c r="AI44" i="55" s="1"/>
  <c r="AL44" i="55"/>
  <c r="AK44" i="55" s="1"/>
  <c r="AN44" i="55"/>
  <c r="AM44" i="55" s="1"/>
  <c r="AP44" i="55"/>
  <c r="AO44" i="55" s="1"/>
  <c r="AP7" i="55"/>
  <c r="AO7" i="55" s="1"/>
  <c r="AN7" i="55"/>
  <c r="AM7" i="55" s="1"/>
  <c r="AL7" i="55"/>
  <c r="AK7" i="55" s="1"/>
  <c r="AJ7" i="55"/>
  <c r="AI7" i="55" s="1"/>
  <c r="AF7" i="55"/>
  <c r="AF12" i="57"/>
  <c r="AJ12" i="57"/>
  <c r="AI12" i="57" s="1"/>
  <c r="AL12" i="57"/>
  <c r="AK12" i="57" s="1"/>
  <c r="AN12" i="57"/>
  <c r="AM12" i="57" s="1"/>
  <c r="AP12" i="57"/>
  <c r="AO12" i="57" s="1"/>
  <c r="AF13" i="57"/>
  <c r="AJ13" i="57"/>
  <c r="AI13" i="57" s="1"/>
  <c r="AL13" i="57"/>
  <c r="AK13" i="57" s="1"/>
  <c r="AN13" i="57"/>
  <c r="AM13" i="57" s="1"/>
  <c r="AP13" i="57"/>
  <c r="AO13" i="57" s="1"/>
  <c r="AF14" i="57"/>
  <c r="AJ14" i="57"/>
  <c r="AL14" i="57"/>
  <c r="AN14" i="57"/>
  <c r="AM14" i="57" s="1"/>
  <c r="AP14" i="57"/>
  <c r="AO14" i="57" s="1"/>
  <c r="AF16" i="57"/>
  <c r="AJ16" i="57"/>
  <c r="AI16" i="57" s="1"/>
  <c r="AL16" i="57"/>
  <c r="AK16" i="57" s="1"/>
  <c r="AN16" i="57"/>
  <c r="AM16" i="57" s="1"/>
  <c r="AP16" i="57"/>
  <c r="AO16" i="57" s="1"/>
  <c r="AF17" i="57"/>
  <c r="AJ17" i="57"/>
  <c r="AI17" i="57" s="1"/>
  <c r="AL17" i="57"/>
  <c r="AK17" i="57" s="1"/>
  <c r="AN17" i="57"/>
  <c r="AM17" i="57" s="1"/>
  <c r="AP17" i="57"/>
  <c r="AO17" i="57" s="1"/>
  <c r="AF18" i="57"/>
  <c r="AJ18" i="57"/>
  <c r="AI18" i="57" s="1"/>
  <c r="AL18" i="57"/>
  <c r="AK18" i="57" s="1"/>
  <c r="AN18" i="57"/>
  <c r="AM18" i="57" s="1"/>
  <c r="AP18" i="57"/>
  <c r="AO18" i="57" s="1"/>
  <c r="AP11" i="57"/>
  <c r="AO11" i="57" s="1"/>
  <c r="AN11" i="57"/>
  <c r="AM11" i="57" s="1"/>
  <c r="AL11" i="57"/>
  <c r="AK11" i="57" s="1"/>
  <c r="AJ11" i="57"/>
  <c r="AI11" i="57" s="1"/>
  <c r="AF11" i="57"/>
  <c r="AP10" i="57"/>
  <c r="AO10" i="57" s="1"/>
  <c r="AN10" i="57"/>
  <c r="AM10" i="57" s="1"/>
  <c r="AL10" i="57"/>
  <c r="AK10" i="57" s="1"/>
  <c r="AJ10" i="57"/>
  <c r="AI10" i="57" s="1"/>
  <c r="AF10" i="57"/>
  <c r="AP9" i="57"/>
  <c r="AO9" i="57" s="1"/>
  <c r="AN9" i="57"/>
  <c r="AM9" i="57" s="1"/>
  <c r="AL9" i="57"/>
  <c r="AK9" i="57" s="1"/>
  <c r="AJ9" i="57"/>
  <c r="AI9" i="57" s="1"/>
  <c r="AF9" i="57"/>
  <c r="AP8" i="57"/>
  <c r="AO8" i="57" s="1"/>
  <c r="AN8" i="57"/>
  <c r="AM8" i="57" s="1"/>
  <c r="AL8" i="57"/>
  <c r="AK8" i="57" s="1"/>
  <c r="AJ8" i="57"/>
  <c r="AI8" i="57" s="1"/>
  <c r="AF8" i="57"/>
  <c r="AP7" i="57"/>
  <c r="AO7" i="57" s="1"/>
  <c r="AN7" i="57"/>
  <c r="AM7" i="57" s="1"/>
  <c r="AL7" i="57"/>
  <c r="AK7" i="57" s="1"/>
  <c r="AJ7" i="57"/>
  <c r="AI7" i="57" s="1"/>
  <c r="AF7" i="57"/>
  <c r="AD26" i="55" l="1"/>
  <c r="AD13" i="55"/>
  <c r="AD11" i="55"/>
  <c r="AD40" i="55"/>
  <c r="AD38" i="55"/>
  <c r="AD34" i="55"/>
  <c r="AD32" i="55"/>
  <c r="AD24" i="55"/>
  <c r="AD20" i="55"/>
  <c r="AD18" i="55"/>
  <c r="AD41" i="55"/>
  <c r="AD39" i="55"/>
  <c r="AD33" i="55"/>
  <c r="AD31" i="55"/>
  <c r="AD27" i="55"/>
  <c r="AD19" i="55"/>
  <c r="AD25" i="55"/>
  <c r="AD17" i="55"/>
  <c r="AD12" i="55"/>
  <c r="AD10" i="55"/>
  <c r="BD20" i="16" l="1"/>
  <c r="BD8" i="16"/>
  <c r="BD24" i="16"/>
  <c r="BD30" i="16"/>
  <c r="BD7" i="16"/>
  <c r="BD21" i="16"/>
  <c r="BD15" i="16"/>
  <c r="BD25" i="16"/>
  <c r="BD23" i="16"/>
  <c r="BD37" i="16"/>
  <c r="BD17" i="16"/>
  <c r="BD9" i="16"/>
  <c r="BD16" i="16"/>
  <c r="BD18" i="16"/>
  <c r="BD12" i="16"/>
  <c r="V17" i="16" l="1"/>
  <c r="F16" i="8" l="1"/>
  <c r="A1" i="83" s="1"/>
  <c r="F14" i="8"/>
  <c r="A1" i="57" s="1"/>
  <c r="B305" i="57" s="1"/>
  <c r="B305" i="83" l="1"/>
  <c r="B300" i="83"/>
  <c r="B302" i="83"/>
  <c r="B304" i="83"/>
  <c r="B301" i="83"/>
  <c r="B303" i="83"/>
  <c r="B306" i="83"/>
  <c r="AZ12" i="16"/>
  <c r="V14" i="16"/>
  <c r="AC44" i="16" l="1"/>
  <c r="AC30" i="16"/>
  <c r="AC40" i="16"/>
  <c r="AC23" i="16"/>
  <c r="AC50" i="16"/>
  <c r="AC14" i="16"/>
  <c r="AC9" i="16"/>
  <c r="AC51" i="16"/>
  <c r="AC16" i="16"/>
  <c r="AC18" i="16"/>
  <c r="AC20" i="16"/>
  <c r="AC31" i="16"/>
  <c r="AC26" i="16"/>
  <c r="AC13" i="16"/>
  <c r="AC48" i="16"/>
  <c r="AC24" i="16"/>
  <c r="AC36" i="16"/>
  <c r="AC38" i="16"/>
  <c r="AC19" i="16"/>
  <c r="AC7" i="16"/>
  <c r="AC43" i="16"/>
  <c r="AC39" i="16"/>
  <c r="AC29" i="16"/>
  <c r="AC27" i="16"/>
  <c r="AC21" i="16"/>
  <c r="AC8" i="16"/>
  <c r="AC47" i="16"/>
  <c r="AC15" i="16"/>
  <c r="AC46" i="16"/>
  <c r="AC11" i="16"/>
  <c r="AC34" i="16"/>
  <c r="AC41" i="16"/>
  <c r="AC33" i="16"/>
  <c r="AC22" i="16"/>
  <c r="AC35" i="16"/>
  <c r="AC17" i="16"/>
  <c r="AC49" i="16"/>
  <c r="AC32" i="16"/>
  <c r="AC45" i="16"/>
  <c r="AC42" i="16"/>
  <c r="AC10" i="16"/>
  <c r="AC37" i="16"/>
  <c r="AC25" i="16"/>
  <c r="AC28" i="16"/>
  <c r="AC12" i="16"/>
  <c r="BA21" i="16"/>
  <c r="BA15" i="16"/>
  <c r="BA20" i="16"/>
  <c r="BA8" i="16"/>
  <c r="BA24" i="16"/>
  <c r="BA30" i="16"/>
  <c r="BA7" i="16"/>
  <c r="BA25" i="16"/>
  <c r="BA23" i="16"/>
  <c r="BA37" i="16"/>
  <c r="BA17" i="16"/>
  <c r="BA9" i="16"/>
  <c r="BA16" i="16"/>
  <c r="BA18" i="16"/>
  <c r="BA12" i="16"/>
  <c r="AX17" i="16" l="1"/>
  <c r="AX15" i="16"/>
  <c r="AX8" i="16"/>
  <c r="AX7" i="16"/>
  <c r="AX24" i="16"/>
  <c r="AX13" i="16"/>
  <c r="AX18" i="16"/>
  <c r="AX23" i="16"/>
  <c r="AX30" i="16"/>
  <c r="AX37" i="16"/>
  <c r="AX11" i="16"/>
  <c r="AX38" i="16"/>
  <c r="AX12" i="16"/>
  <c r="AX25" i="16"/>
  <c r="AX10" i="16"/>
  <c r="AX21" i="16"/>
  <c r="AX19" i="16"/>
  <c r="AX20" i="16"/>
  <c r="AX16" i="16"/>
  <c r="AX9" i="16"/>
  <c r="AX44" i="16"/>
  <c r="W18" i="57"/>
  <c r="W17" i="57"/>
  <c r="W16" i="57"/>
  <c r="W14" i="57"/>
  <c r="W13" i="57"/>
  <c r="W12" i="57"/>
  <c r="W11" i="57"/>
  <c r="W10" i="57"/>
  <c r="W9" i="57"/>
  <c r="W8" i="57"/>
  <c r="W7" i="57"/>
  <c r="V50" i="16" l="1"/>
  <c r="AA18" i="57" l="1"/>
  <c r="Y18" i="57"/>
  <c r="AB18" i="57" s="1"/>
  <c r="AA17" i="57"/>
  <c r="Y17" i="57"/>
  <c r="AA16" i="57"/>
  <c r="Y16" i="57"/>
  <c r="AA14" i="57"/>
  <c r="Y14" i="57"/>
  <c r="AA13" i="57"/>
  <c r="Y13" i="57"/>
  <c r="AA12" i="57"/>
  <c r="Y12" i="57"/>
  <c r="AA11" i="57"/>
  <c r="Y11" i="57"/>
  <c r="AA10" i="57"/>
  <c r="Y10" i="57"/>
  <c r="AA9" i="57"/>
  <c r="Y9" i="57"/>
  <c r="AA8" i="57"/>
  <c r="Y8" i="57"/>
  <c r="AA7" i="57"/>
  <c r="Y7" i="57"/>
  <c r="AB17" i="57" l="1"/>
  <c r="AB16" i="57"/>
  <c r="AB14" i="57"/>
  <c r="AB13" i="57"/>
  <c r="AB12" i="57"/>
  <c r="AB11" i="57"/>
  <c r="AB10" i="57"/>
  <c r="AB9" i="57"/>
  <c r="AB8" i="57"/>
  <c r="AB7" i="57"/>
  <c r="C208" i="55" l="1"/>
  <c r="E208" i="55" s="1"/>
  <c r="C198" i="55"/>
  <c r="E198" i="55" l="1"/>
  <c r="P46" i="55" l="1"/>
  <c r="O46" i="55"/>
  <c r="N46" i="55"/>
  <c r="H46" i="55"/>
  <c r="Q46" i="55" s="1"/>
  <c r="P45" i="55"/>
  <c r="O45" i="55"/>
  <c r="N45" i="55"/>
  <c r="H45" i="55"/>
  <c r="Q45" i="55" s="1"/>
  <c r="P44" i="55"/>
  <c r="O44" i="55"/>
  <c r="N44" i="55"/>
  <c r="H44" i="55"/>
  <c r="Q44" i="55" s="1"/>
  <c r="P43" i="55"/>
  <c r="O43" i="55"/>
  <c r="N43" i="55"/>
  <c r="H43" i="55"/>
  <c r="Q43" i="55" s="1"/>
  <c r="P42" i="55"/>
  <c r="O42" i="55"/>
  <c r="N42" i="55"/>
  <c r="H42" i="55"/>
  <c r="Q42" i="55" s="1"/>
  <c r="R41" i="55"/>
  <c r="P39" i="55"/>
  <c r="O39" i="55"/>
  <c r="N39" i="55"/>
  <c r="H39" i="55"/>
  <c r="Q39" i="55" s="1"/>
  <c r="P38" i="55"/>
  <c r="O38" i="55"/>
  <c r="N38" i="55"/>
  <c r="H38" i="55"/>
  <c r="Q38" i="55" s="1"/>
  <c r="P37" i="55"/>
  <c r="O37" i="55"/>
  <c r="N37" i="55"/>
  <c r="H37" i="55"/>
  <c r="Q37" i="55" s="1"/>
  <c r="P36" i="55"/>
  <c r="O36" i="55"/>
  <c r="N36" i="55"/>
  <c r="H36" i="55"/>
  <c r="Q36" i="55" s="1"/>
  <c r="P35" i="55"/>
  <c r="O35" i="55"/>
  <c r="N35" i="55"/>
  <c r="H35" i="55"/>
  <c r="Q35" i="55" s="1"/>
  <c r="R34" i="55"/>
  <c r="P32" i="55"/>
  <c r="O32" i="55"/>
  <c r="N32" i="55"/>
  <c r="H32" i="55"/>
  <c r="Q32" i="55" s="1"/>
  <c r="P31" i="55"/>
  <c r="O31" i="55"/>
  <c r="N31" i="55"/>
  <c r="H31" i="55"/>
  <c r="Q31" i="55" s="1"/>
  <c r="P30" i="55"/>
  <c r="O30" i="55"/>
  <c r="N30" i="55"/>
  <c r="H30" i="55"/>
  <c r="Q30" i="55" s="1"/>
  <c r="P29" i="55"/>
  <c r="O29" i="55"/>
  <c r="N29" i="55"/>
  <c r="H29" i="55"/>
  <c r="Q29" i="55" s="1"/>
  <c r="P28" i="55"/>
  <c r="O28" i="55"/>
  <c r="N28" i="55"/>
  <c r="H28" i="55"/>
  <c r="Q28" i="55" s="1"/>
  <c r="R27" i="55"/>
  <c r="P25" i="55"/>
  <c r="O25" i="55"/>
  <c r="N25" i="55"/>
  <c r="H25" i="55"/>
  <c r="Q25" i="55" s="1"/>
  <c r="P24" i="55"/>
  <c r="O24" i="55"/>
  <c r="N24" i="55"/>
  <c r="H24" i="55"/>
  <c r="Q24" i="55" s="1"/>
  <c r="P23" i="55"/>
  <c r="O23" i="55"/>
  <c r="N23" i="55"/>
  <c r="H23" i="55"/>
  <c r="Q23" i="55" s="1"/>
  <c r="P22" i="55"/>
  <c r="O22" i="55"/>
  <c r="N22" i="55"/>
  <c r="H22" i="55"/>
  <c r="Q22" i="55" s="1"/>
  <c r="P21" i="55"/>
  <c r="O21" i="55"/>
  <c r="N21" i="55"/>
  <c r="H21" i="55"/>
  <c r="Q21" i="55" s="1"/>
  <c r="R20" i="55"/>
  <c r="P18" i="55"/>
  <c r="O18" i="55"/>
  <c r="N18" i="55"/>
  <c r="H18" i="55"/>
  <c r="Q18" i="55" s="1"/>
  <c r="P17" i="55"/>
  <c r="O17" i="55"/>
  <c r="N17" i="55"/>
  <c r="H17" i="55"/>
  <c r="Q17" i="55" s="1"/>
  <c r="P16" i="55"/>
  <c r="O16" i="55"/>
  <c r="N16" i="55"/>
  <c r="H16" i="55"/>
  <c r="Q16" i="55" s="1"/>
  <c r="P15" i="55"/>
  <c r="O15" i="55"/>
  <c r="N15" i="55"/>
  <c r="H15" i="55"/>
  <c r="Q15" i="55" s="1"/>
  <c r="P14" i="55"/>
  <c r="O14" i="55"/>
  <c r="N14" i="55"/>
  <c r="H14" i="55"/>
  <c r="Q14" i="55" s="1"/>
  <c r="R13" i="55"/>
  <c r="P11" i="55"/>
  <c r="O11" i="55"/>
  <c r="N11" i="55"/>
  <c r="H11" i="55"/>
  <c r="Q11" i="55" s="1"/>
  <c r="P10" i="55"/>
  <c r="O10" i="55"/>
  <c r="N10" i="55"/>
  <c r="H10" i="55"/>
  <c r="Q10" i="55" s="1"/>
  <c r="P9" i="55"/>
  <c r="O9" i="55"/>
  <c r="N9" i="55"/>
  <c r="H9" i="55"/>
  <c r="Q9" i="55" s="1"/>
  <c r="P8" i="55"/>
  <c r="O8" i="55"/>
  <c r="N8" i="55"/>
  <c r="H8" i="55"/>
  <c r="Q8" i="55" s="1"/>
  <c r="P7" i="55"/>
  <c r="O7" i="55"/>
  <c r="N7" i="55"/>
  <c r="H7" i="55"/>
  <c r="Q7" i="55" s="1"/>
  <c r="R6" i="55"/>
  <c r="I32" i="55" l="1"/>
  <c r="I31" i="55"/>
  <c r="I46" i="55"/>
  <c r="I45" i="55"/>
  <c r="I18" i="55"/>
  <c r="I10" i="55"/>
  <c r="I17" i="55"/>
  <c r="I11" i="55"/>
  <c r="I24" i="55"/>
  <c r="I25" i="55"/>
  <c r="I38" i="55"/>
  <c r="I39" i="55"/>
  <c r="L14" i="55"/>
  <c r="J14" i="55"/>
  <c r="L15" i="55"/>
  <c r="J15" i="55"/>
  <c r="L16" i="55"/>
  <c r="J16" i="55"/>
  <c r="L17" i="55"/>
  <c r="J17" i="55"/>
  <c r="L18" i="55"/>
  <c r="J18" i="55"/>
  <c r="J7" i="55"/>
  <c r="T7" i="55" s="1"/>
  <c r="L7" i="55"/>
  <c r="J8" i="55"/>
  <c r="T8" i="55" s="1"/>
  <c r="L8" i="55"/>
  <c r="J9" i="55"/>
  <c r="T9" i="55" s="1"/>
  <c r="L9" i="55"/>
  <c r="J10" i="55"/>
  <c r="T10" i="55" s="1"/>
  <c r="L10" i="55"/>
  <c r="J11" i="55"/>
  <c r="T11" i="55" s="1"/>
  <c r="K11" i="55" s="1"/>
  <c r="L11" i="55"/>
  <c r="J21" i="55"/>
  <c r="T21" i="55" s="1"/>
  <c r="L21" i="55"/>
  <c r="J22" i="55"/>
  <c r="T22" i="55" s="1"/>
  <c r="L22" i="55"/>
  <c r="J23" i="55"/>
  <c r="T23" i="55" s="1"/>
  <c r="L23" i="55"/>
  <c r="J24" i="55"/>
  <c r="T24" i="55" s="1"/>
  <c r="L24" i="55"/>
  <c r="J25" i="55"/>
  <c r="T25" i="55" s="1"/>
  <c r="L25" i="55"/>
  <c r="L35" i="55"/>
  <c r="J35" i="55"/>
  <c r="L37" i="55"/>
  <c r="J37" i="55"/>
  <c r="L42" i="55"/>
  <c r="J42" i="55"/>
  <c r="T42" i="55" s="1"/>
  <c r="L44" i="55"/>
  <c r="J44" i="55"/>
  <c r="T44" i="55" s="1"/>
  <c r="L28" i="55"/>
  <c r="J28" i="55"/>
  <c r="L29" i="55"/>
  <c r="J29" i="55"/>
  <c r="L30" i="55"/>
  <c r="J30" i="55"/>
  <c r="L31" i="55"/>
  <c r="J31" i="55"/>
  <c r="L32" i="55"/>
  <c r="J32" i="55"/>
  <c r="L39" i="55"/>
  <c r="J39" i="55"/>
  <c r="T39" i="55" s="1"/>
  <c r="L46" i="55"/>
  <c r="J46" i="55"/>
  <c r="J36" i="55"/>
  <c r="T36" i="55" s="1"/>
  <c r="L36" i="55"/>
  <c r="J38" i="55"/>
  <c r="T38" i="55" s="1"/>
  <c r="L38" i="55"/>
  <c r="J43" i="55"/>
  <c r="T43" i="55" s="1"/>
  <c r="L43" i="55"/>
  <c r="J45" i="55"/>
  <c r="T45" i="55" s="1"/>
  <c r="L45" i="55"/>
  <c r="K25" i="55" l="1"/>
  <c r="R25" i="55" s="1"/>
  <c r="R11" i="55"/>
  <c r="K24" i="55"/>
  <c r="R24" i="55" s="1"/>
  <c r="K23" i="55"/>
  <c r="R23" i="55" s="1"/>
  <c r="K22" i="55"/>
  <c r="R22" i="55" s="1"/>
  <c r="K21" i="55"/>
  <c r="R21" i="55" s="1"/>
  <c r="K10" i="55"/>
  <c r="R10" i="55" s="1"/>
  <c r="K9" i="55"/>
  <c r="R9" i="55" s="1"/>
  <c r="K8" i="55"/>
  <c r="R8" i="55" s="1"/>
  <c r="K7" i="55"/>
  <c r="R7" i="55" s="1"/>
  <c r="T46" i="55"/>
  <c r="K46" i="55" s="1"/>
  <c r="R46" i="55" s="1"/>
  <c r="T32" i="55"/>
  <c r="T31" i="55"/>
  <c r="T30" i="55"/>
  <c r="T29" i="55"/>
  <c r="T28" i="55"/>
  <c r="T37" i="55"/>
  <c r="T35" i="55"/>
  <c r="T18" i="55"/>
  <c r="T17" i="55"/>
  <c r="T16" i="55"/>
  <c r="T15" i="55"/>
  <c r="T14" i="55"/>
  <c r="K44" i="55"/>
  <c r="R44" i="55" s="1"/>
  <c r="K42" i="55" l="1"/>
  <c r="R42" i="55" s="1"/>
  <c r="K14" i="55"/>
  <c r="R14" i="55" s="1"/>
  <c r="K37" i="55"/>
  <c r="R37" i="55" s="1"/>
  <c r="K28" i="55"/>
  <c r="R28" i="55" s="1"/>
  <c r="K39" i="55"/>
  <c r="R39" i="55" s="1"/>
  <c r="K15" i="55"/>
  <c r="R15" i="55" s="1"/>
  <c r="K17" i="55"/>
  <c r="R17" i="55" s="1"/>
  <c r="K35" i="55"/>
  <c r="R35" i="55" s="1"/>
  <c r="K29" i="55"/>
  <c r="R29" i="55" s="1"/>
  <c r="K31" i="55"/>
  <c r="R31" i="55" s="1"/>
  <c r="M7" i="55"/>
  <c r="S7" i="55" s="1"/>
  <c r="M9" i="55"/>
  <c r="S9" i="55" s="1"/>
  <c r="M11" i="55"/>
  <c r="S11" i="55" s="1"/>
  <c r="K38" i="55"/>
  <c r="R38" i="55" s="1"/>
  <c r="M22" i="55"/>
  <c r="S22" i="55" s="1"/>
  <c r="M24" i="55"/>
  <c r="S24" i="55" s="1"/>
  <c r="K36" i="55"/>
  <c r="R36" i="55" s="1"/>
  <c r="K16" i="55"/>
  <c r="R16" i="55" s="1"/>
  <c r="K18" i="55"/>
  <c r="R18" i="55" s="1"/>
  <c r="K30" i="55"/>
  <c r="R30" i="55" s="1"/>
  <c r="K32" i="55"/>
  <c r="R32" i="55" s="1"/>
  <c r="M8" i="55"/>
  <c r="S8" i="55" s="1"/>
  <c r="M10" i="55"/>
  <c r="S10" i="55" s="1"/>
  <c r="K45" i="55"/>
  <c r="R45" i="55" s="1"/>
  <c r="M21" i="55"/>
  <c r="S21" i="55" s="1"/>
  <c r="M23" i="55"/>
  <c r="S23" i="55" s="1"/>
  <c r="M25" i="55"/>
  <c r="S25" i="55" s="1"/>
  <c r="K43" i="55"/>
  <c r="R43" i="55" s="1"/>
  <c r="I23" i="55" l="1"/>
  <c r="I8" i="55"/>
  <c r="I9" i="55"/>
  <c r="I21" i="55"/>
  <c r="I22" i="55"/>
  <c r="I7" i="55"/>
  <c r="M14" i="55"/>
  <c r="S14" i="55" s="1"/>
  <c r="M42" i="55"/>
  <c r="S42" i="55" s="1"/>
  <c r="M37" i="55"/>
  <c r="S37" i="55" s="1"/>
  <c r="M30" i="55"/>
  <c r="S30" i="55" s="1"/>
  <c r="M16" i="55"/>
  <c r="S16" i="55" s="1"/>
  <c r="M38" i="55"/>
  <c r="S38" i="55" s="1"/>
  <c r="M29" i="55"/>
  <c r="S29" i="55" s="1"/>
  <c r="M17" i="55"/>
  <c r="S17" i="55" s="1"/>
  <c r="M39" i="55"/>
  <c r="S39" i="55" s="1"/>
  <c r="M28" i="55"/>
  <c r="S28" i="55" s="1"/>
  <c r="M46" i="55"/>
  <c r="S46" i="55" s="1"/>
  <c r="M44" i="55"/>
  <c r="S44" i="55" s="1"/>
  <c r="M43" i="55"/>
  <c r="S43" i="55" s="1"/>
  <c r="I43" i="55" s="1"/>
  <c r="M45" i="55"/>
  <c r="S45" i="55" s="1"/>
  <c r="M32" i="55"/>
  <c r="S32" i="55" s="1"/>
  <c r="M18" i="55"/>
  <c r="S18" i="55" s="1"/>
  <c r="M36" i="55"/>
  <c r="S36" i="55" s="1"/>
  <c r="M31" i="55"/>
  <c r="S31" i="55" s="1"/>
  <c r="M35" i="55"/>
  <c r="S35" i="55" s="1"/>
  <c r="I35" i="55" s="1"/>
  <c r="M15" i="55"/>
  <c r="S15" i="55" s="1"/>
  <c r="I15" i="55" s="1"/>
  <c r="I44" i="55" l="1"/>
  <c r="I28" i="55"/>
  <c r="I30" i="55"/>
  <c r="I42" i="55"/>
  <c r="I36" i="55"/>
  <c r="I29" i="55"/>
  <c r="I16" i="55"/>
  <c r="I37" i="55"/>
  <c r="I14" i="55"/>
  <c r="C196" i="55"/>
  <c r="E196" i="55" s="1"/>
  <c r="C202" i="55" l="1"/>
  <c r="E220" i="55" s="1"/>
  <c r="C206" i="55"/>
  <c r="E222" i="55" s="1"/>
  <c r="C200" i="55"/>
  <c r="E201" i="55" s="1"/>
  <c r="G211" i="55" s="1"/>
  <c r="J215" i="55" s="1"/>
  <c r="C210" i="55"/>
  <c r="E210" i="55" s="1"/>
  <c r="E218" i="55"/>
  <c r="G218" i="55" s="1"/>
  <c r="E197" i="55"/>
  <c r="G199" i="55" s="1"/>
  <c r="J203" i="55" s="1"/>
  <c r="C204" i="55"/>
  <c r="E205" i="55" s="1"/>
  <c r="G207" i="55" s="1"/>
  <c r="J208" i="55" s="1"/>
  <c r="B104" i="55"/>
  <c r="B112" i="55"/>
  <c r="B124" i="55"/>
  <c r="B102" i="55"/>
  <c r="C102" i="55" s="1"/>
  <c r="B110" i="55"/>
  <c r="B116" i="55"/>
  <c r="B122" i="55"/>
  <c r="B130" i="55"/>
  <c r="B108" i="55"/>
  <c r="B120" i="55"/>
  <c r="B128" i="55"/>
  <c r="B106" i="55"/>
  <c r="B114" i="55"/>
  <c r="B118" i="55"/>
  <c r="B126" i="55"/>
  <c r="B132" i="55"/>
  <c r="E224" i="55" l="1"/>
  <c r="G224" i="55" s="1"/>
  <c r="E209" i="55"/>
  <c r="G213" i="55" s="1"/>
  <c r="J212" i="55" s="1"/>
  <c r="G222" i="55"/>
  <c r="G220" i="55"/>
  <c r="G226" i="55" s="1"/>
  <c r="I226" i="55" s="1"/>
  <c r="C132" i="55"/>
  <c r="C114" i="55"/>
  <c r="C118" i="55"/>
  <c r="C127" i="55"/>
  <c r="C107" i="55"/>
  <c r="C130" i="55"/>
  <c r="C116" i="55"/>
  <c r="C104" i="55"/>
  <c r="C157" i="55" s="1"/>
  <c r="C120" i="55"/>
  <c r="C119" i="55" s="1"/>
  <c r="C161" i="55"/>
  <c r="G219" i="55" l="1"/>
  <c r="J224" i="55" s="1"/>
  <c r="G228" i="55"/>
  <c r="I228" i="55" s="1"/>
  <c r="J227" i="55" s="1"/>
  <c r="G223" i="55"/>
  <c r="J221" i="55" s="1"/>
  <c r="C163" i="55"/>
  <c r="E161" i="55" s="1"/>
  <c r="C123" i="55"/>
  <c r="C169" i="55"/>
  <c r="C167" i="55"/>
  <c r="C115" i="55"/>
  <c r="C111" i="55"/>
  <c r="C103" i="55"/>
  <c r="C131" i="55"/>
  <c r="C171" i="55"/>
  <c r="C159" i="55"/>
  <c r="E159" i="55" s="1"/>
  <c r="C165" i="55"/>
  <c r="E163" i="55"/>
  <c r="J230" i="55" l="1"/>
  <c r="E142" i="55"/>
  <c r="E129" i="55"/>
  <c r="E121" i="55"/>
  <c r="E162" i="55"/>
  <c r="E165" i="55"/>
  <c r="E171" i="55"/>
  <c r="E169" i="55"/>
  <c r="E144" i="55"/>
  <c r="E113" i="55"/>
  <c r="E105" i="55"/>
  <c r="E157" i="55"/>
  <c r="E181" i="55"/>
  <c r="E167" i="55"/>
  <c r="E146" i="55" l="1"/>
  <c r="E183" i="55"/>
  <c r="E170" i="55"/>
  <c r="E185" i="55"/>
  <c r="G183" i="55" s="1"/>
  <c r="E140" i="55"/>
  <c r="E166" i="55"/>
  <c r="E158" i="55"/>
  <c r="E179" i="55"/>
  <c r="G179" i="55" s="1"/>
  <c r="G185" i="55" l="1"/>
  <c r="G189" i="55" s="1"/>
  <c r="G145" i="55"/>
  <c r="G184" i="55"/>
  <c r="G150" i="55"/>
  <c r="G174" i="55"/>
  <c r="G133" i="55"/>
  <c r="G131" i="55"/>
  <c r="G125" i="55"/>
  <c r="G109" i="55"/>
  <c r="G181" i="55"/>
  <c r="G187" i="55" s="1"/>
  <c r="G168" i="55" l="1"/>
  <c r="I187" i="55"/>
  <c r="G148" i="55"/>
  <c r="G141" i="55"/>
  <c r="G180" i="55"/>
  <c r="G172" i="55"/>
  <c r="G160" i="55"/>
  <c r="J132" i="55"/>
  <c r="I189" i="55"/>
  <c r="J117" i="55" l="1"/>
  <c r="J188" i="55"/>
  <c r="J135" i="55"/>
  <c r="J126" i="55"/>
  <c r="J169" i="55"/>
  <c r="I180" i="55"/>
  <c r="I184" i="55"/>
  <c r="I188" i="55"/>
  <c r="J173" i="55"/>
  <c r="J191" i="55"/>
  <c r="V43" i="16"/>
  <c r="J164" i="55" l="1"/>
  <c r="J152" i="55"/>
  <c r="J149" i="55"/>
  <c r="J143" i="55"/>
  <c r="J146" i="55"/>
  <c r="I182" i="55"/>
  <c r="J185" i="55"/>
  <c r="J182" i="55"/>
  <c r="J176" i="55"/>
  <c r="AA12" i="16" l="1"/>
  <c r="AV12" i="16" l="1"/>
  <c r="V9" i="16" l="1"/>
  <c r="O52" i="16"/>
  <c r="M52" i="16"/>
  <c r="V35" i="16" l="1"/>
  <c r="N35" i="16"/>
  <c r="V48" i="16"/>
  <c r="N48" i="16"/>
  <c r="V40" i="16"/>
  <c r="N40" i="16"/>
  <c r="V28" i="16"/>
  <c r="N28" i="16"/>
  <c r="V26" i="16"/>
  <c r="V16" i="16"/>
  <c r="V51" i="16"/>
  <c r="N51" i="16"/>
  <c r="V13" i="16"/>
  <c r="V8" i="16"/>
  <c r="V49" i="16"/>
  <c r="N49" i="16"/>
  <c r="V46" i="16"/>
  <c r="N46" i="16"/>
  <c r="V22" i="16"/>
  <c r="V33" i="16"/>
  <c r="N33" i="16"/>
  <c r="V47" i="16"/>
  <c r="N47" i="16"/>
  <c r="V23" i="16"/>
  <c r="N23" i="16"/>
  <c r="V32" i="16"/>
  <c r="N32" i="16"/>
  <c r="V34" i="16"/>
  <c r="N34" i="16"/>
  <c r="V30" i="16"/>
  <c r="N30" i="16"/>
  <c r="V29" i="16"/>
  <c r="N29" i="16"/>
  <c r="V42" i="16"/>
  <c r="N42" i="16"/>
  <c r="V25" i="16"/>
  <c r="N25" i="16"/>
  <c r="V7" i="16"/>
  <c r="N7" i="16"/>
  <c r="V15" i="16"/>
  <c r="N15" i="16"/>
  <c r="V45" i="16"/>
  <c r="N45" i="16"/>
  <c r="V24" i="16"/>
  <c r="N24" i="16"/>
  <c r="V11" i="16"/>
  <c r="N11" i="16"/>
  <c r="V10" i="16"/>
  <c r="N10" i="16"/>
  <c r="V36" i="16"/>
  <c r="N36" i="16"/>
  <c r="V37" i="16"/>
  <c r="N37" i="16"/>
  <c r="V31" i="16"/>
  <c r="N31" i="16"/>
  <c r="V41" i="16"/>
  <c r="N41" i="16"/>
  <c r="V39" i="16"/>
  <c r="V12" i="16"/>
  <c r="N12" i="16"/>
  <c r="V21" i="16"/>
  <c r="N21" i="16"/>
  <c r="AM52" i="16"/>
  <c r="V20" i="16"/>
  <c r="N20" i="16"/>
  <c r="AM6" i="16"/>
  <c r="AV27" i="16" l="1"/>
  <c r="AX27" i="16"/>
  <c r="AZ27" i="16"/>
  <c r="BB27" i="16"/>
  <c r="BD27" i="16"/>
  <c r="AU27" i="16"/>
  <c r="AY27" i="16"/>
  <c r="BA27" i="16"/>
  <c r="BC27" i="16"/>
  <c r="AY14" i="16"/>
  <c r="AV14" i="16"/>
  <c r="AX14" i="16"/>
  <c r="AZ14" i="16"/>
  <c r="BB14" i="16"/>
  <c r="BD14" i="16"/>
  <c r="AU14" i="16"/>
  <c r="BA14" i="16"/>
  <c r="BC14" i="16"/>
  <c r="AV50" i="16"/>
  <c r="AV43" i="16"/>
  <c r="AX50" i="16"/>
  <c r="AX43" i="16"/>
  <c r="AZ50" i="16"/>
  <c r="AZ43" i="16"/>
  <c r="BB50" i="16"/>
  <c r="BB43" i="16"/>
  <c r="BD50" i="16"/>
  <c r="BD43" i="16"/>
  <c r="AU50" i="16"/>
  <c r="AU43" i="16"/>
  <c r="AY50" i="16"/>
  <c r="AY43" i="16"/>
  <c r="BA50" i="16"/>
  <c r="BA43" i="16"/>
  <c r="BC50" i="16"/>
  <c r="BC43" i="16"/>
  <c r="N52" i="16"/>
  <c r="AM53" i="16"/>
  <c r="L2" i="7"/>
  <c r="F7" i="8"/>
  <c r="F5" i="8"/>
  <c r="G1" i="8"/>
  <c r="AU39" i="16" l="1"/>
  <c r="AU41" i="16"/>
  <c r="AU31" i="16"/>
  <c r="AU36" i="16"/>
  <c r="AU45" i="16"/>
  <c r="AU29" i="16"/>
  <c r="AU34" i="16"/>
  <c r="AU33" i="16"/>
  <c r="AU46" i="16"/>
  <c r="AU49" i="16"/>
  <c r="AU40" i="16"/>
  <c r="AU35" i="16"/>
  <c r="AU42" i="16"/>
  <c r="AU32" i="16"/>
  <c r="AU47" i="16"/>
  <c r="AU22" i="16"/>
  <c r="AU51" i="16"/>
  <c r="AU28" i="16"/>
  <c r="AU48" i="16"/>
  <c r="B304" i="57" l="1"/>
  <c r="B303" i="57"/>
  <c r="B311" i="57"/>
  <c r="B310" i="57"/>
  <c r="B301" i="57"/>
  <c r="B309" i="57"/>
  <c r="B306" i="57"/>
  <c r="B307" i="57"/>
  <c r="B302" i="57"/>
  <c r="B308" i="57"/>
  <c r="B300" i="57"/>
  <c r="AZ47" i="16"/>
  <c r="AZ31" i="16"/>
  <c r="AZ29" i="16"/>
  <c r="AZ46" i="16"/>
  <c r="AZ26" i="16"/>
  <c r="AZ40" i="16"/>
  <c r="AZ35" i="16"/>
  <c r="AZ51" i="16"/>
  <c r="AZ28" i="16"/>
  <c r="AZ41" i="16"/>
  <c r="AZ42" i="16"/>
  <c r="AZ22" i="16"/>
  <c r="AZ39" i="16"/>
  <c r="AZ36" i="16"/>
  <c r="AZ33" i="16"/>
  <c r="AZ48" i="16"/>
  <c r="AZ32" i="16"/>
  <c r="AZ45" i="16"/>
  <c r="AZ34" i="16"/>
  <c r="AZ49" i="16"/>
  <c r="AY39" i="16"/>
  <c r="AY36" i="16"/>
  <c r="AY45" i="16"/>
  <c r="AY34" i="16"/>
  <c r="AY33" i="16"/>
  <c r="AY49" i="16"/>
  <c r="AY41" i="16"/>
  <c r="AY42" i="16"/>
  <c r="AY32" i="16"/>
  <c r="AY22" i="16"/>
  <c r="AY51" i="16"/>
  <c r="AY28" i="16"/>
  <c r="AY26" i="16"/>
  <c r="AY40" i="16"/>
  <c r="AY35" i="16"/>
  <c r="AY31" i="16"/>
  <c r="AY29" i="16"/>
  <c r="AY46" i="16"/>
  <c r="AY47" i="16"/>
  <c r="AY48" i="16"/>
  <c r="BB47" i="16"/>
  <c r="BB48" i="16"/>
  <c r="BB31" i="16"/>
  <c r="BB29" i="16"/>
  <c r="BB46" i="16"/>
  <c r="BB26" i="16"/>
  <c r="BB40" i="16"/>
  <c r="BB35" i="16"/>
  <c r="BB41" i="16"/>
  <c r="BB42" i="16"/>
  <c r="BB32" i="16"/>
  <c r="BB22" i="16"/>
  <c r="BB51" i="16"/>
  <c r="BB28" i="16"/>
  <c r="BB39" i="16"/>
  <c r="BB36" i="16"/>
  <c r="BB45" i="16"/>
  <c r="BB34" i="16"/>
  <c r="BB33" i="16"/>
  <c r="BB49" i="16"/>
  <c r="BA39" i="16"/>
  <c r="BA36" i="16"/>
  <c r="BA45" i="16"/>
  <c r="BA34" i="16"/>
  <c r="BA33" i="16"/>
  <c r="BA49" i="16"/>
  <c r="BA31" i="16"/>
  <c r="BA29" i="16"/>
  <c r="BA46" i="16"/>
  <c r="BA41" i="16"/>
  <c r="BA42" i="16"/>
  <c r="BA32" i="16"/>
  <c r="BA22" i="16"/>
  <c r="BA48" i="16"/>
  <c r="BA26" i="16"/>
  <c r="BA40" i="16"/>
  <c r="BA35" i="16"/>
  <c r="BA47" i="16"/>
  <c r="BA51" i="16"/>
  <c r="BA28" i="16"/>
  <c r="BC41" i="16"/>
  <c r="BC42" i="16"/>
  <c r="BC32" i="16"/>
  <c r="BC22" i="16"/>
  <c r="BC51" i="16"/>
  <c r="BC28" i="16"/>
  <c r="BC45" i="16"/>
  <c r="BC34" i="16"/>
  <c r="BC33" i="16"/>
  <c r="BC49" i="16"/>
  <c r="BC39" i="16"/>
  <c r="BC31" i="16"/>
  <c r="BC36" i="16"/>
  <c r="BC47" i="16"/>
  <c r="BC48" i="16"/>
  <c r="BC29" i="16"/>
  <c r="BC46" i="16"/>
  <c r="BC26" i="16"/>
  <c r="BC35" i="16"/>
  <c r="BC40" i="16"/>
  <c r="AB44" i="16" l="1"/>
  <c r="AB38" i="16"/>
  <c r="AB19" i="16"/>
  <c r="AB34" i="16"/>
  <c r="AB30" i="16"/>
  <c r="AB42" i="16"/>
  <c r="AB10" i="16"/>
  <c r="AB33" i="16"/>
  <c r="AB37" i="16"/>
  <c r="AB22" i="16"/>
  <c r="AB25" i="16"/>
  <c r="AB35" i="16"/>
  <c r="AB17" i="16"/>
  <c r="AB49" i="16"/>
  <c r="AB28" i="16"/>
  <c r="AB20" i="16"/>
  <c r="AB21" i="16"/>
  <c r="AB31" i="16"/>
  <c r="AB8" i="16"/>
  <c r="AB26" i="16"/>
  <c r="AB47" i="16"/>
  <c r="AB13" i="16"/>
  <c r="AB48" i="16"/>
  <c r="AB15" i="16"/>
  <c r="AB24" i="16"/>
  <c r="AB46" i="16"/>
  <c r="AB36" i="16"/>
  <c r="AB11" i="16"/>
  <c r="AB32" i="16"/>
  <c r="AB45" i="16"/>
  <c r="AB41" i="16"/>
  <c r="AB7" i="16"/>
  <c r="AB40" i="16"/>
  <c r="AB43" i="16"/>
  <c r="AB23" i="16"/>
  <c r="AB39" i="16"/>
  <c r="AB50" i="16"/>
  <c r="AB29" i="16"/>
  <c r="AB14" i="16"/>
  <c r="AB27" i="16"/>
  <c r="AB9" i="16"/>
  <c r="AB51" i="16"/>
  <c r="AB16" i="16"/>
  <c r="AB18" i="16"/>
  <c r="AG8" i="83"/>
  <c r="AG13" i="83"/>
  <c r="AG11" i="83"/>
  <c r="AG12" i="83"/>
  <c r="AB12" i="16"/>
  <c r="AK13" i="16"/>
  <c r="AK48" i="16"/>
  <c r="AK23" i="16"/>
  <c r="AK20" i="16"/>
  <c r="AK46" i="16"/>
  <c r="AK11" i="16"/>
  <c r="AK31" i="16"/>
  <c r="AK32" i="16"/>
  <c r="AK15" i="16"/>
  <c r="AK40" i="16"/>
  <c r="AK33" i="16"/>
  <c r="AK25" i="16"/>
  <c r="AK36" i="16"/>
  <c r="AK30" i="16"/>
  <c r="AK24" i="16"/>
  <c r="AK21" i="16"/>
  <c r="AK37" i="16"/>
  <c r="AK42" i="16"/>
  <c r="AK41" i="16"/>
  <c r="AK49" i="16"/>
  <c r="AK34" i="16"/>
  <c r="AK45" i="16"/>
  <c r="AK47" i="16"/>
  <c r="AK7" i="16"/>
  <c r="AK22" i="16"/>
  <c r="AK9" i="16"/>
  <c r="AK35" i="16"/>
  <c r="AK28" i="16"/>
  <c r="AK29" i="16"/>
  <c r="AK16" i="16"/>
  <c r="AK39" i="16"/>
  <c r="AX28" i="16"/>
  <c r="AX46" i="16"/>
  <c r="AX29" i="16"/>
  <c r="AX51" i="16"/>
  <c r="AX32" i="16"/>
  <c r="AX40" i="16"/>
  <c r="AX33" i="16"/>
  <c r="AX36" i="16"/>
  <c r="AX39" i="16"/>
  <c r="AX22" i="16"/>
  <c r="AX42" i="16"/>
  <c r="AX41" i="16"/>
  <c r="AX48" i="16"/>
  <c r="AX35" i="16"/>
  <c r="AX26" i="16"/>
  <c r="AX49" i="16"/>
  <c r="AX34" i="16"/>
  <c r="AX45" i="16"/>
  <c r="AX47" i="16"/>
  <c r="AX31" i="16"/>
  <c r="AF52" i="16"/>
  <c r="AC52" i="16"/>
  <c r="AG52" i="16"/>
  <c r="AD52" i="16"/>
  <c r="AE52" i="16"/>
  <c r="AH52" i="16"/>
  <c r="I16" i="8" l="1"/>
  <c r="AW18" i="16"/>
  <c r="AT18" i="16" s="1"/>
  <c r="AK51" i="16"/>
  <c r="AW7" i="16"/>
  <c r="AT7" i="16" s="1"/>
  <c r="AW11" i="16"/>
  <c r="AT11" i="16" s="1"/>
  <c r="AW15" i="16"/>
  <c r="AT15" i="16" s="1"/>
  <c r="AW13" i="16"/>
  <c r="AT13" i="16" s="1"/>
  <c r="AW20" i="16"/>
  <c r="AT20" i="16" s="1"/>
  <c r="I28" i="8"/>
  <c r="I27" i="8"/>
  <c r="I25" i="8"/>
  <c r="AW12" i="16"/>
  <c r="AT12" i="16" s="1"/>
  <c r="AW16" i="16"/>
  <c r="AT16" i="16" s="1"/>
  <c r="AW9" i="16"/>
  <c r="AT9" i="16" s="1"/>
  <c r="AW23" i="16"/>
  <c r="AT23" i="16" s="1"/>
  <c r="AW24" i="16"/>
  <c r="AT24" i="16" s="1"/>
  <c r="AW8" i="16"/>
  <c r="AT8" i="16" s="1"/>
  <c r="AW21" i="16"/>
  <c r="AT21" i="16" s="1"/>
  <c r="AW17" i="16"/>
  <c r="AT17" i="16" s="1"/>
  <c r="AW25" i="16"/>
  <c r="AT25" i="16" s="1"/>
  <c r="AW37" i="16"/>
  <c r="AT37" i="16" s="1"/>
  <c r="AW30" i="16"/>
  <c r="AT30" i="16" s="1"/>
  <c r="AW19" i="16"/>
  <c r="AT19" i="16" s="1"/>
  <c r="AK8" i="16"/>
  <c r="AW10" i="16"/>
  <c r="AT10" i="16" s="1"/>
  <c r="AK10" i="16"/>
  <c r="AN10" i="16"/>
  <c r="I24" i="8"/>
  <c r="AO10" i="16"/>
  <c r="AP10" i="16"/>
  <c r="I18" i="8"/>
  <c r="AC53" i="16"/>
  <c r="AP12" i="16"/>
  <c r="AO12" i="16"/>
  <c r="R12" i="16"/>
  <c r="R27" i="16"/>
  <c r="AK8" i="91" s="1"/>
  <c r="AO27" i="16"/>
  <c r="AP27" i="16"/>
  <c r="R29" i="16"/>
  <c r="AK7" i="88" s="1"/>
  <c r="AP29" i="16"/>
  <c r="AO29" i="16"/>
  <c r="R39" i="16"/>
  <c r="AG16" i="87" s="1"/>
  <c r="AP39" i="16"/>
  <c r="AO39" i="16"/>
  <c r="R43" i="16"/>
  <c r="AO43" i="16"/>
  <c r="AP43" i="16"/>
  <c r="R7" i="16"/>
  <c r="AI8" i="91" s="1"/>
  <c r="AP7" i="16"/>
  <c r="AO7" i="16"/>
  <c r="R45" i="16"/>
  <c r="AK10" i="83" s="1"/>
  <c r="AP45" i="16"/>
  <c r="AO45" i="16"/>
  <c r="R11" i="16"/>
  <c r="AP11" i="16"/>
  <c r="AO11" i="16"/>
  <c r="R46" i="16"/>
  <c r="AE17" i="91" s="1"/>
  <c r="AP46" i="16"/>
  <c r="AO46" i="16"/>
  <c r="R15" i="16"/>
  <c r="AI7" i="91" s="1"/>
  <c r="AP15" i="16"/>
  <c r="AO15" i="16"/>
  <c r="R47" i="16"/>
  <c r="AP47" i="16"/>
  <c r="AO47" i="16"/>
  <c r="R8" i="16"/>
  <c r="AO8" i="16"/>
  <c r="AP8" i="16"/>
  <c r="R21" i="16"/>
  <c r="AP21" i="16"/>
  <c r="AO21" i="16"/>
  <c r="R49" i="16"/>
  <c r="AO49" i="16"/>
  <c r="AP49" i="16"/>
  <c r="R17" i="16"/>
  <c r="AK15" i="91" s="1"/>
  <c r="AO17" i="16"/>
  <c r="AP17" i="16"/>
  <c r="R35" i="16"/>
  <c r="AI10" i="88" s="1"/>
  <c r="AP35" i="16"/>
  <c r="AO35" i="16"/>
  <c r="R22" i="16"/>
  <c r="AK7" i="89" s="1"/>
  <c r="AP22" i="16"/>
  <c r="AO22" i="16"/>
  <c r="R33" i="16"/>
  <c r="AK8" i="88" s="1"/>
  <c r="AO33" i="16"/>
  <c r="AP33" i="16"/>
  <c r="R30" i="16"/>
  <c r="AI16" i="86" s="1"/>
  <c r="AP30" i="16"/>
  <c r="AO30" i="16"/>
  <c r="R34" i="16"/>
  <c r="AE18" i="90" s="1"/>
  <c r="AO34" i="16"/>
  <c r="AP34" i="16"/>
  <c r="R38" i="16"/>
  <c r="AE19" i="90" s="1"/>
  <c r="AP38" i="16"/>
  <c r="AO38" i="16"/>
  <c r="R18" i="16"/>
  <c r="AP18" i="16"/>
  <c r="AO18" i="16"/>
  <c r="R16" i="16"/>
  <c r="AE7" i="91" s="1"/>
  <c r="AO16" i="16"/>
  <c r="AP16" i="16"/>
  <c r="R51" i="16"/>
  <c r="AO51" i="16"/>
  <c r="AP51" i="16"/>
  <c r="R9" i="16"/>
  <c r="AO9" i="16"/>
  <c r="AP9" i="16"/>
  <c r="R14" i="16"/>
  <c r="AI9" i="91" s="1"/>
  <c r="AP14" i="16"/>
  <c r="AO14" i="16"/>
  <c r="R50" i="16"/>
  <c r="AO50" i="16"/>
  <c r="AP50" i="16"/>
  <c r="R23" i="16"/>
  <c r="AO23" i="16"/>
  <c r="AP23" i="16"/>
  <c r="R40" i="16"/>
  <c r="AO40" i="16"/>
  <c r="AP40" i="16"/>
  <c r="R41" i="16"/>
  <c r="AO41" i="16"/>
  <c r="AP41" i="16"/>
  <c r="R32" i="16"/>
  <c r="AO32" i="16"/>
  <c r="AP32" i="16"/>
  <c r="R36" i="16"/>
  <c r="AO36" i="16"/>
  <c r="AP36" i="16"/>
  <c r="R24" i="16"/>
  <c r="AE15" i="90" s="1"/>
  <c r="AO24" i="16"/>
  <c r="AP24" i="16"/>
  <c r="R48" i="16"/>
  <c r="AO48" i="16"/>
  <c r="AP48" i="16"/>
  <c r="R13" i="16"/>
  <c r="AO13" i="16"/>
  <c r="AP13" i="16"/>
  <c r="R26" i="16"/>
  <c r="AO26" i="16"/>
  <c r="AP26" i="16"/>
  <c r="R31" i="16"/>
  <c r="AP31" i="16"/>
  <c r="AO31" i="16"/>
  <c r="R20" i="16"/>
  <c r="AO20" i="16"/>
  <c r="AP20" i="16"/>
  <c r="R28" i="16"/>
  <c r="AP28" i="16"/>
  <c r="AO28" i="16"/>
  <c r="R25" i="16"/>
  <c r="AP25" i="16"/>
  <c r="AO25" i="16"/>
  <c r="R37" i="16"/>
  <c r="AE9" i="83" s="1"/>
  <c r="AP37" i="16"/>
  <c r="AO37" i="16"/>
  <c r="R10" i="16"/>
  <c r="AE9" i="91" s="1"/>
  <c r="R42" i="16"/>
  <c r="AO42" i="16"/>
  <c r="AP42" i="16"/>
  <c r="R19" i="16"/>
  <c r="AO19" i="16"/>
  <c r="AP19" i="16"/>
  <c r="R44" i="16"/>
  <c r="AG15" i="85" s="1"/>
  <c r="AO44" i="16"/>
  <c r="AP44" i="16"/>
  <c r="AK12" i="83"/>
  <c r="AG16" i="85"/>
  <c r="AE13" i="83"/>
  <c r="AE8" i="85"/>
  <c r="AK8" i="83"/>
  <c r="AE10" i="85"/>
  <c r="AI9" i="83"/>
  <c r="AK7" i="83"/>
  <c r="AG7" i="85"/>
  <c r="AG10" i="83"/>
  <c r="AG14" i="85"/>
  <c r="AI10" i="83"/>
  <c r="AG13" i="85"/>
  <c r="AI12" i="83"/>
  <c r="AE16" i="85"/>
  <c r="AE15" i="57"/>
  <c r="AE17" i="85"/>
  <c r="AW38" i="16"/>
  <c r="AT38" i="16" s="1"/>
  <c r="AN38" i="16"/>
  <c r="AK38" i="16"/>
  <c r="AK19" i="16"/>
  <c r="AN19" i="16"/>
  <c r="AW44" i="16"/>
  <c r="AT44" i="16" s="1"/>
  <c r="AN44" i="16"/>
  <c r="AJ44" i="16" s="1"/>
  <c r="AK44" i="16"/>
  <c r="Z52" i="16"/>
  <c r="AE11" i="83"/>
  <c r="AG13" i="82"/>
  <c r="AK9" i="83"/>
  <c r="AE12" i="82"/>
  <c r="AI13" i="83"/>
  <c r="AE10" i="83"/>
  <c r="AE10" i="82"/>
  <c r="AI7" i="83"/>
  <c r="AG9" i="82"/>
  <c r="AI8" i="83"/>
  <c r="AG9" i="83"/>
  <c r="AK11" i="83"/>
  <c r="AG10" i="82"/>
  <c r="AG14" i="57"/>
  <c r="AE7" i="83"/>
  <c r="AE11" i="82"/>
  <c r="AG14" i="82"/>
  <c r="AE12" i="83"/>
  <c r="AE13" i="82"/>
  <c r="AE8" i="82"/>
  <c r="AG7" i="82"/>
  <c r="AG7" i="83"/>
  <c r="AG8" i="82"/>
  <c r="AK12" i="16"/>
  <c r="AN27" i="16"/>
  <c r="AK27" i="16"/>
  <c r="AW27" i="16"/>
  <c r="AT27" i="16" s="1"/>
  <c r="AN18" i="16"/>
  <c r="AK18" i="16"/>
  <c r="AK50" i="16"/>
  <c r="AN50" i="16"/>
  <c r="AW50" i="16"/>
  <c r="AT50" i="16" s="1"/>
  <c r="AK43" i="16"/>
  <c r="AN43" i="16"/>
  <c r="AW43" i="16"/>
  <c r="AT43" i="16" s="1"/>
  <c r="AW14" i="16"/>
  <c r="AT14" i="16" s="1"/>
  <c r="AN14" i="16"/>
  <c r="AK14" i="16"/>
  <c r="AN17" i="16"/>
  <c r="AK17" i="16"/>
  <c r="AE53" i="16"/>
  <c r="AG53" i="16"/>
  <c r="BP28" i="16" s="1"/>
  <c r="AF53" i="16"/>
  <c r="BO10" i="16" s="1"/>
  <c r="AH53" i="16"/>
  <c r="AD53" i="16"/>
  <c r="BQ46" i="16" l="1"/>
  <c r="BQ35" i="16"/>
  <c r="BQ17" i="16"/>
  <c r="BQ41" i="16"/>
  <c r="BQ32" i="16"/>
  <c r="BQ7" i="16"/>
  <c r="BQ47" i="16"/>
  <c r="BQ34" i="16"/>
  <c r="BQ16" i="16"/>
  <c r="BQ43" i="16"/>
  <c r="BQ28" i="16"/>
  <c r="BQ14" i="16"/>
  <c r="BQ37" i="16"/>
  <c r="BQ19" i="16"/>
  <c r="BQ51" i="16"/>
  <c r="BQ26" i="16"/>
  <c r="BQ15" i="16"/>
  <c r="BQ50" i="16"/>
  <c r="BQ36" i="16"/>
  <c r="BQ23" i="16"/>
  <c r="BQ48" i="16"/>
  <c r="BQ27" i="16"/>
  <c r="BQ18" i="16"/>
  <c r="BQ40" i="16"/>
  <c r="BQ25" i="16"/>
  <c r="BQ8" i="16"/>
  <c r="BQ39" i="16"/>
  <c r="BQ22" i="16"/>
  <c r="BQ9" i="16"/>
  <c r="BQ42" i="16"/>
  <c r="BQ29" i="16"/>
  <c r="BQ11" i="16"/>
  <c r="BQ31" i="16"/>
  <c r="BQ24" i="16"/>
  <c r="BQ45" i="16"/>
  <c r="BQ21" i="16"/>
  <c r="BQ10" i="16"/>
  <c r="BQ38" i="16"/>
  <c r="BQ30" i="16"/>
  <c r="BQ6" i="16"/>
  <c r="BQ49" i="16"/>
  <c r="BQ33" i="16"/>
  <c r="BQ13" i="16"/>
  <c r="BQ44" i="16"/>
  <c r="BQ20" i="16"/>
  <c r="BQ12" i="16"/>
  <c r="BM51" i="16"/>
  <c r="BM14" i="16"/>
  <c r="BM11" i="16"/>
  <c r="BM48" i="16"/>
  <c r="BM27" i="16"/>
  <c r="BM12" i="16"/>
  <c r="BM35" i="16"/>
  <c r="BM22" i="16"/>
  <c r="BM8" i="16"/>
  <c r="BM36" i="16"/>
  <c r="BM45" i="16"/>
  <c r="BM15" i="16"/>
  <c r="BM32" i="16"/>
  <c r="BM30" i="16"/>
  <c r="BM29" i="16"/>
  <c r="BM38" i="16"/>
  <c r="BM23" i="16"/>
  <c r="BM26" i="16"/>
  <c r="BM20" i="16"/>
  <c r="BM6" i="16"/>
  <c r="BM40" i="16"/>
  <c r="BM21" i="16"/>
  <c r="BM31" i="16"/>
  <c r="BM47" i="16"/>
  <c r="BM37" i="16"/>
  <c r="BM10" i="16"/>
  <c r="BM41" i="16"/>
  <c r="BM17" i="16"/>
  <c r="BM50" i="16"/>
  <c r="BM25" i="16"/>
  <c r="BM7" i="16"/>
  <c r="BM39" i="16"/>
  <c r="BM28" i="16"/>
  <c r="BM13" i="16"/>
  <c r="BM42" i="16"/>
  <c r="BM44" i="16"/>
  <c r="BM16" i="16"/>
  <c r="BM46" i="16"/>
  <c r="BM24" i="16"/>
  <c r="BM9" i="16"/>
  <c r="BN36" i="16"/>
  <c r="BN33" i="16"/>
  <c r="BN14" i="16"/>
  <c r="BN26" i="16"/>
  <c r="BN29" i="16"/>
  <c r="BL41" i="16"/>
  <c r="BL8" i="16"/>
  <c r="BL24" i="16"/>
  <c r="BL51" i="16"/>
  <c r="BL27" i="16"/>
  <c r="BL12" i="16"/>
  <c r="BL10" i="16"/>
  <c r="BL33" i="16"/>
  <c r="BL29" i="16"/>
  <c r="BL26" i="16"/>
  <c r="BL9" i="16"/>
  <c r="BL42" i="16"/>
  <c r="BL39" i="16"/>
  <c r="BL31" i="16"/>
  <c r="BL14" i="16"/>
  <c r="BL30" i="16"/>
  <c r="BL22" i="16"/>
  <c r="BL45" i="16"/>
  <c r="BL34" i="16"/>
  <c r="BL21" i="16"/>
  <c r="BL19" i="16"/>
  <c r="BL50" i="16"/>
  <c r="BL40" i="16"/>
  <c r="BL28" i="16"/>
  <c r="BL15" i="16"/>
  <c r="BL6" i="16"/>
  <c r="BL13" i="16"/>
  <c r="BL32" i="16"/>
  <c r="BL38" i="16"/>
  <c r="BL25" i="16"/>
  <c r="BL49" i="16"/>
  <c r="BL46" i="16"/>
  <c r="BL36" i="16"/>
  <c r="BL20" i="16"/>
  <c r="BL44" i="16"/>
  <c r="BL17" i="16"/>
  <c r="BL7" i="16"/>
  <c r="BL18" i="16"/>
  <c r="BL23" i="16"/>
  <c r="BL37" i="16"/>
  <c r="BL11" i="16"/>
  <c r="BL35" i="16"/>
  <c r="BL47" i="16"/>
  <c r="BL43" i="16"/>
  <c r="BL48" i="16"/>
  <c r="BL16" i="16"/>
  <c r="BO6" i="16"/>
  <c r="BO16" i="16"/>
  <c r="BO24" i="16"/>
  <c r="BO21" i="16"/>
  <c r="BO38" i="16"/>
  <c r="BO46" i="16"/>
  <c r="BO13" i="16"/>
  <c r="BO20" i="16"/>
  <c r="BO36" i="16"/>
  <c r="BO14" i="16"/>
  <c r="BO37" i="16"/>
  <c r="BO47" i="16"/>
  <c r="BO9" i="16"/>
  <c r="BO30" i="16"/>
  <c r="BO29" i="16"/>
  <c r="BO44" i="16"/>
  <c r="BO26" i="16"/>
  <c r="BO11" i="16"/>
  <c r="BO39" i="16"/>
  <c r="BO51" i="16"/>
  <c r="BO15" i="16"/>
  <c r="BO32" i="16"/>
  <c r="BO49" i="16"/>
  <c r="BP17" i="16"/>
  <c r="BP20" i="16"/>
  <c r="BP46" i="16"/>
  <c r="BP16" i="16"/>
  <c r="BP21" i="16"/>
  <c r="BP10" i="16"/>
  <c r="BP18" i="16"/>
  <c r="BP42" i="16"/>
  <c r="BP43" i="16"/>
  <c r="BP15" i="16"/>
  <c r="BP34" i="16"/>
  <c r="BP13" i="16"/>
  <c r="BP27" i="16"/>
  <c r="BP51" i="16"/>
  <c r="BP14" i="16"/>
  <c r="BP37" i="16"/>
  <c r="BP36" i="16"/>
  <c r="BP19" i="16"/>
  <c r="BP39" i="16"/>
  <c r="BP47" i="16"/>
  <c r="BP7" i="16"/>
  <c r="BP35" i="16"/>
  <c r="BP48" i="16"/>
  <c r="BN18" i="16"/>
  <c r="BN10" i="16"/>
  <c r="BN24" i="16"/>
  <c r="BN38" i="16"/>
  <c r="BN13" i="16"/>
  <c r="BN32" i="16"/>
  <c r="BN51" i="16"/>
  <c r="BN19" i="16"/>
  <c r="BN35" i="16"/>
  <c r="BN31" i="16"/>
  <c r="BN22" i="16"/>
  <c r="BN45" i="16"/>
  <c r="BN46" i="16"/>
  <c r="BN34" i="16"/>
  <c r="BN8" i="16"/>
  <c r="BN25" i="16"/>
  <c r="BN41" i="16"/>
  <c r="BN9" i="16"/>
  <c r="BN44" i="16"/>
  <c r="BN39" i="16"/>
  <c r="BN48" i="16"/>
  <c r="BM34" i="16"/>
  <c r="BM18" i="16"/>
  <c r="BM33" i="16"/>
  <c r="BO12" i="16"/>
  <c r="BO18" i="16"/>
  <c r="BO34" i="16"/>
  <c r="BO28" i="16"/>
  <c r="BO50" i="16"/>
  <c r="BO31" i="16"/>
  <c r="BO22" i="16"/>
  <c r="BO41" i="16"/>
  <c r="BO8" i="16"/>
  <c r="BO25" i="16"/>
  <c r="BO45" i="16"/>
  <c r="BO7" i="16"/>
  <c r="BO19" i="16"/>
  <c r="BO27" i="16"/>
  <c r="BO35" i="16"/>
  <c r="BO40" i="16"/>
  <c r="BO48" i="16"/>
  <c r="BO17" i="16"/>
  <c r="BO42" i="16"/>
  <c r="BO43" i="16"/>
  <c r="BO23" i="16"/>
  <c r="BO33" i="16"/>
  <c r="BP11" i="16"/>
  <c r="BP25" i="16"/>
  <c r="BP40" i="16"/>
  <c r="BP12" i="16"/>
  <c r="BP33" i="16"/>
  <c r="BP26" i="16"/>
  <c r="BP9" i="16"/>
  <c r="BP32" i="16"/>
  <c r="BP49" i="16"/>
  <c r="BP6" i="16"/>
  <c r="BP24" i="16"/>
  <c r="BP41" i="16"/>
  <c r="BP30" i="16"/>
  <c r="BP44" i="16"/>
  <c r="BP31" i="16"/>
  <c r="BP29" i="16"/>
  <c r="BP45" i="16"/>
  <c r="BP50" i="16"/>
  <c r="BP22" i="16"/>
  <c r="BP38" i="16"/>
  <c r="BP8" i="16"/>
  <c r="BP23" i="16"/>
  <c r="BN28" i="16"/>
  <c r="BN16" i="16"/>
  <c r="BN21" i="16"/>
  <c r="BN43" i="16"/>
  <c r="BN23" i="16"/>
  <c r="BN42" i="16"/>
  <c r="BN7" i="16"/>
  <c r="BN27" i="16"/>
  <c r="BN40" i="16"/>
  <c r="BN15" i="16"/>
  <c r="BN20" i="16"/>
  <c r="BN47" i="16"/>
  <c r="BN12" i="16"/>
  <c r="BN50" i="16"/>
  <c r="BN17" i="16"/>
  <c r="BN37" i="16"/>
  <c r="BN6" i="16"/>
  <c r="BN30" i="16"/>
  <c r="BN11" i="16"/>
  <c r="BN49" i="16"/>
  <c r="BM19" i="16"/>
  <c r="BM43" i="16"/>
  <c r="BM49" i="16"/>
  <c r="AI10" i="91"/>
  <c r="AI17" i="91"/>
  <c r="AK10" i="91"/>
  <c r="AK17" i="91"/>
  <c r="AE14" i="91"/>
  <c r="AK9" i="91"/>
  <c r="AD9" i="91" s="1"/>
  <c r="AE15" i="91"/>
  <c r="AE16" i="90"/>
  <c r="AE8" i="91"/>
  <c r="AD8" i="91" s="1"/>
  <c r="AE10" i="90"/>
  <c r="AE16" i="91"/>
  <c r="AI9" i="89"/>
  <c r="AI16" i="91"/>
  <c r="AG7" i="90"/>
  <c r="AK14" i="91"/>
  <c r="AE10" i="91"/>
  <c r="AD10" i="91" s="1"/>
  <c r="AK12" i="89"/>
  <c r="AK7" i="91"/>
  <c r="AD7" i="91" s="1"/>
  <c r="AG8" i="90"/>
  <c r="AK16" i="91"/>
  <c r="AE11" i="90"/>
  <c r="AI14" i="91"/>
  <c r="AG9" i="90"/>
  <c r="AI15" i="91"/>
  <c r="AD15" i="91" s="1"/>
  <c r="AI8" i="89"/>
  <c r="AG11" i="90"/>
  <c r="AI7" i="89"/>
  <c r="AG10" i="90"/>
  <c r="AD10" i="90" s="1"/>
  <c r="AE10" i="89"/>
  <c r="AE9" i="90"/>
  <c r="AE7" i="89"/>
  <c r="AE8" i="90"/>
  <c r="AI11" i="89"/>
  <c r="AE7" i="90"/>
  <c r="AD7" i="90" s="1"/>
  <c r="AK13" i="89"/>
  <c r="AG19" i="90"/>
  <c r="AD19" i="90" s="1"/>
  <c r="AK15" i="89"/>
  <c r="AG18" i="90"/>
  <c r="AD18" i="90" s="1"/>
  <c r="AG17" i="90"/>
  <c r="AE17" i="90"/>
  <c r="AE13" i="87"/>
  <c r="AG16" i="90"/>
  <c r="AD16" i="90" s="1"/>
  <c r="AG15" i="57"/>
  <c r="AG15" i="90"/>
  <c r="AD15" i="90" s="1"/>
  <c r="AE12" i="89"/>
  <c r="AE14" i="90"/>
  <c r="AI12" i="89"/>
  <c r="AG14" i="90"/>
  <c r="AE15" i="89"/>
  <c r="AE13" i="90"/>
  <c r="AI13" i="89"/>
  <c r="AG13" i="90"/>
  <c r="AK8" i="89"/>
  <c r="AE12" i="90"/>
  <c r="AK10" i="89"/>
  <c r="AG12" i="90"/>
  <c r="AE7" i="82"/>
  <c r="AD7" i="82" s="1"/>
  <c r="AE11" i="88"/>
  <c r="AE9" i="89"/>
  <c r="AE18" i="87"/>
  <c r="AE13" i="89"/>
  <c r="AD13" i="89" s="1"/>
  <c r="A21" i="16"/>
  <c r="AK11" i="89"/>
  <c r="AG15" i="87"/>
  <c r="AK14" i="89"/>
  <c r="AK12" i="88"/>
  <c r="AK9" i="89"/>
  <c r="AD9" i="89" s="1"/>
  <c r="AE15" i="87"/>
  <c r="AE14" i="89"/>
  <c r="AE16" i="87"/>
  <c r="AD16" i="87" s="1"/>
  <c r="AE11" i="89"/>
  <c r="AE14" i="87"/>
  <c r="AI15" i="89"/>
  <c r="AK9" i="88"/>
  <c r="AE8" i="89"/>
  <c r="AD7" i="89"/>
  <c r="AI8" i="88"/>
  <c r="AI10" i="89"/>
  <c r="AD10" i="89" s="1"/>
  <c r="AI14" i="89"/>
  <c r="AE17" i="87"/>
  <c r="AE9" i="88"/>
  <c r="AG9" i="86"/>
  <c r="AI11" i="88"/>
  <c r="AG11" i="85"/>
  <c r="AE12" i="88"/>
  <c r="AG17" i="87"/>
  <c r="AI9" i="88"/>
  <c r="AG14" i="87"/>
  <c r="AK10" i="88"/>
  <c r="AE8" i="87"/>
  <c r="AE7" i="88"/>
  <c r="AG13" i="87"/>
  <c r="AD13" i="87" s="1"/>
  <c r="AI7" i="88"/>
  <c r="AG9" i="87"/>
  <c r="AK11" i="88"/>
  <c r="AE12" i="87"/>
  <c r="AE8" i="88"/>
  <c r="AD8" i="88" s="1"/>
  <c r="AE11" i="87"/>
  <c r="AE10" i="88"/>
  <c r="AD10" i="88" s="1"/>
  <c r="AI12" i="88"/>
  <c r="AK16" i="86"/>
  <c r="AG18" i="87"/>
  <c r="AE15" i="85"/>
  <c r="AD15" i="85" s="1"/>
  <c r="AE19" i="87"/>
  <c r="AG14" i="86"/>
  <c r="AG11" i="87"/>
  <c r="AD15" i="87"/>
  <c r="AG8" i="85"/>
  <c r="AD8" i="85" s="1"/>
  <c r="AG7" i="87"/>
  <c r="AE7" i="86"/>
  <c r="AE9" i="87"/>
  <c r="AG13" i="86"/>
  <c r="AG19" i="87"/>
  <c r="AE11" i="85"/>
  <c r="AD11" i="85" s="1"/>
  <c r="AE7" i="87"/>
  <c r="AD7" i="87" s="1"/>
  <c r="AG8" i="86"/>
  <c r="AG12" i="87"/>
  <c r="AG10" i="87"/>
  <c r="A35" i="16"/>
  <c r="AE10" i="87"/>
  <c r="AD10" i="87" s="1"/>
  <c r="AG8" i="87"/>
  <c r="AE19" i="85"/>
  <c r="AE11" i="86"/>
  <c r="AE13" i="85"/>
  <c r="AD13" i="85" s="1"/>
  <c r="AE14" i="86"/>
  <c r="AG19" i="85"/>
  <c r="AG11" i="86"/>
  <c r="AE16" i="86"/>
  <c r="AG17" i="85"/>
  <c r="AG12" i="86"/>
  <c r="A25" i="16"/>
  <c r="AE14" i="85"/>
  <c r="AD14" i="85" s="1"/>
  <c r="A20" i="16"/>
  <c r="AE12" i="86"/>
  <c r="AD12" i="86" s="1"/>
  <c r="A24" i="16"/>
  <c r="AG7" i="86"/>
  <c r="A14" i="16"/>
  <c r="AE7" i="85"/>
  <c r="AD7" i="85" s="1"/>
  <c r="AE13" i="86"/>
  <c r="AG18" i="85"/>
  <c r="AG10" i="86"/>
  <c r="AD7" i="86"/>
  <c r="AE9" i="85"/>
  <c r="AE8" i="86"/>
  <c r="AE18" i="85"/>
  <c r="AE10" i="86"/>
  <c r="A50" i="16"/>
  <c r="AE15" i="86"/>
  <c r="AG15" i="86"/>
  <c r="A39" i="16"/>
  <c r="AE9" i="86"/>
  <c r="AG12" i="85"/>
  <c r="A42" i="16"/>
  <c r="AG10" i="85"/>
  <c r="AD10" i="85" s="1"/>
  <c r="AE12" i="85"/>
  <c r="A40" i="16"/>
  <c r="Z53" i="16"/>
  <c r="BI29" i="16" s="1"/>
  <c r="I10" i="8"/>
  <c r="AD10" i="83"/>
  <c r="AD15" i="57"/>
  <c r="AK13" i="83"/>
  <c r="AG12" i="82"/>
  <c r="AD17" i="85"/>
  <c r="AD16" i="85"/>
  <c r="AD13" i="83"/>
  <c r="AD12" i="82"/>
  <c r="AE8" i="83"/>
  <c r="AD8" i="83" s="1"/>
  <c r="AD12" i="83"/>
  <c r="AI11" i="83"/>
  <c r="AD11" i="83" s="1"/>
  <c r="AG9" i="85"/>
  <c r="AD9" i="83"/>
  <c r="AG11" i="82"/>
  <c r="AD11" i="82" s="1"/>
  <c r="C38" i="16"/>
  <c r="E38" i="16"/>
  <c r="C44" i="16"/>
  <c r="I44" i="16"/>
  <c r="G44" i="16"/>
  <c r="E44" i="16"/>
  <c r="C19" i="16"/>
  <c r="E19" i="16"/>
  <c r="AE9" i="82"/>
  <c r="AD9" i="82" s="1"/>
  <c r="AD10" i="82"/>
  <c r="AU26" i="16"/>
  <c r="AK26" i="16"/>
  <c r="AE14" i="82"/>
  <c r="AD14" i="82" s="1"/>
  <c r="AD7" i="83"/>
  <c r="AD13" i="82"/>
  <c r="AD8" i="82"/>
  <c r="G27" i="16"/>
  <c r="E18" i="16"/>
  <c r="I18" i="16"/>
  <c r="AK37" i="55"/>
  <c r="I14" i="16"/>
  <c r="C14" i="16"/>
  <c r="G14" i="16"/>
  <c r="E50" i="16"/>
  <c r="C50" i="16"/>
  <c r="AE14" i="57"/>
  <c r="AE23" i="55"/>
  <c r="AE17" i="57"/>
  <c r="C17" i="16"/>
  <c r="G17" i="16"/>
  <c r="I17" i="16"/>
  <c r="AE30" i="55"/>
  <c r="AE37" i="55"/>
  <c r="C43" i="16"/>
  <c r="E43" i="16"/>
  <c r="I43" i="16"/>
  <c r="AG29" i="55"/>
  <c r="AG30" i="55"/>
  <c r="AI37" i="55"/>
  <c r="BI44" i="16" l="1"/>
  <c r="BI49" i="16"/>
  <c r="BI9" i="16"/>
  <c r="BI38" i="16"/>
  <c r="BI25" i="16"/>
  <c r="BI47" i="16"/>
  <c r="BI39" i="16"/>
  <c r="BI24" i="16"/>
  <c r="BI22" i="16"/>
  <c r="BI51" i="16"/>
  <c r="BI37" i="16"/>
  <c r="BI43" i="16"/>
  <c r="BI34" i="16"/>
  <c r="BI21" i="16"/>
  <c r="BI50" i="16"/>
  <c r="BI10" i="16"/>
  <c r="BI6" i="16"/>
  <c r="BI17" i="16"/>
  <c r="BI46" i="16"/>
  <c r="BI14" i="16"/>
  <c r="BI31" i="16"/>
  <c r="BI8" i="16"/>
  <c r="BI45" i="16"/>
  <c r="BI33" i="16"/>
  <c r="BI40" i="16"/>
  <c r="BI16" i="16"/>
  <c r="BI36" i="16"/>
  <c r="BI12" i="16"/>
  <c r="BI7" i="16"/>
  <c r="BI20" i="16"/>
  <c r="BI30" i="16"/>
  <c r="BI41" i="16"/>
  <c r="BI48" i="16"/>
  <c r="BI28" i="16"/>
  <c r="BI13" i="16"/>
  <c r="BI35" i="16"/>
  <c r="BI32" i="16"/>
  <c r="BI26" i="16"/>
  <c r="BI11" i="16"/>
  <c r="BI27" i="16"/>
  <c r="BI19" i="16"/>
  <c r="BI23" i="16"/>
  <c r="BI18" i="16"/>
  <c r="BI42" i="16"/>
  <c r="BI15" i="16"/>
  <c r="AD17" i="91"/>
  <c r="AD8" i="90"/>
  <c r="AD14" i="91"/>
  <c r="AD9" i="90"/>
  <c r="AD11" i="90"/>
  <c r="AD16" i="91"/>
  <c r="AD12" i="89"/>
  <c r="AD8" i="89"/>
  <c r="AD15" i="89"/>
  <c r="AD17" i="90"/>
  <c r="AD14" i="90"/>
  <c r="AD13" i="90"/>
  <c r="AD12" i="90"/>
  <c r="AD18" i="87"/>
  <c r="AD14" i="89"/>
  <c r="AD9" i="85"/>
  <c r="AD16" i="86"/>
  <c r="AD12" i="88"/>
  <c r="AD14" i="87"/>
  <c r="AD9" i="86"/>
  <c r="AD13" i="86"/>
  <c r="AD8" i="87"/>
  <c r="AD12" i="87"/>
  <c r="AD9" i="87"/>
  <c r="AD11" i="87"/>
  <c r="AD11" i="88"/>
  <c r="AD11" i="89"/>
  <c r="AD9" i="88"/>
  <c r="AD7" i="88"/>
  <c r="AD17" i="87"/>
  <c r="AD10" i="86"/>
  <c r="AD8" i="86"/>
  <c r="AD14" i="86"/>
  <c r="AD19" i="87"/>
  <c r="AD18" i="85"/>
  <c r="AD11" i="86"/>
  <c r="AD19" i="85"/>
  <c r="AD15" i="86"/>
  <c r="AD12" i="85"/>
  <c r="AD37" i="55"/>
  <c r="AD30" i="55"/>
  <c r="AN9" i="16" l="1"/>
  <c r="C9" i="16"/>
  <c r="G9" i="16" l="1"/>
  <c r="I9" i="16"/>
  <c r="BD45" i="16" l="1"/>
  <c r="BD36" i="16"/>
  <c r="BD41" i="16"/>
  <c r="BD39" i="16"/>
  <c r="BD31" i="16"/>
  <c r="BD34" i="16" l="1"/>
  <c r="BD46" i="16"/>
  <c r="BD49" i="16"/>
  <c r="BD29" i="16"/>
  <c r="BD33" i="16"/>
  <c r="BD28" i="16"/>
  <c r="BD51" i="16"/>
  <c r="BD48" i="16"/>
  <c r="BD35" i="16"/>
  <c r="BD42" i="16"/>
  <c r="BD32" i="16"/>
  <c r="BD47" i="16"/>
  <c r="BD22" i="16"/>
  <c r="BD26" i="16"/>
  <c r="BD40" i="16"/>
  <c r="AI52" i="16" l="1"/>
  <c r="I29" i="8" l="1"/>
  <c r="AI53" i="16"/>
  <c r="BR9" i="16" s="1"/>
  <c r="AW42" i="16"/>
  <c r="AW29" i="16"/>
  <c r="AW36" i="16"/>
  <c r="AW41" i="16"/>
  <c r="AW39" i="16"/>
  <c r="BR49" i="16" l="1"/>
  <c r="BR29" i="16"/>
  <c r="BR7" i="16"/>
  <c r="BR42" i="16"/>
  <c r="BR24" i="16"/>
  <c r="BR16" i="16"/>
  <c r="BR43" i="16"/>
  <c r="BR33" i="16"/>
  <c r="BR10" i="16"/>
  <c r="BR36" i="16"/>
  <c r="BR18" i="16"/>
  <c r="BR51" i="16"/>
  <c r="BR34" i="16"/>
  <c r="BR17" i="16"/>
  <c r="BR47" i="16"/>
  <c r="BR31" i="16"/>
  <c r="BR12" i="16"/>
  <c r="BR28" i="16"/>
  <c r="BR37" i="16"/>
  <c r="BR19" i="16"/>
  <c r="BR45" i="16"/>
  <c r="BR26" i="16"/>
  <c r="BR46" i="16"/>
  <c r="BR15" i="16"/>
  <c r="BR39" i="16"/>
  <c r="BR20" i="16"/>
  <c r="BR50" i="16"/>
  <c r="BR27" i="16"/>
  <c r="BR14" i="16"/>
  <c r="BR13" i="16"/>
  <c r="BR40" i="16"/>
  <c r="BR23" i="16"/>
  <c r="BR48" i="16"/>
  <c r="BR32" i="16"/>
  <c r="BR8" i="16"/>
  <c r="BR44" i="16"/>
  <c r="BR25" i="16"/>
  <c r="BR11" i="16"/>
  <c r="BR38" i="16"/>
  <c r="BR22" i="16"/>
  <c r="BR21" i="16"/>
  <c r="BR41" i="16"/>
  <c r="BR30" i="16"/>
  <c r="BR6" i="16"/>
  <c r="BR35" i="16"/>
  <c r="AW48" i="16"/>
  <c r="AW35" i="16"/>
  <c r="AW28" i="16"/>
  <c r="AW26" i="16"/>
  <c r="AW32" i="16"/>
  <c r="AW22" i="16"/>
  <c r="AW47" i="16"/>
  <c r="AW40" i="16"/>
  <c r="AW51" i="16"/>
  <c r="AW49" i="16"/>
  <c r="AW46" i="16"/>
  <c r="AW34" i="16"/>
  <c r="AW31" i="16"/>
  <c r="AW33" i="16"/>
  <c r="AW45" i="16"/>
  <c r="AB52" i="16" l="1"/>
  <c r="AB53" i="16" l="1"/>
  <c r="BK18" i="16" s="1"/>
  <c r="I14" i="8"/>
  <c r="AV31" i="16"/>
  <c r="AT31" i="16" s="1"/>
  <c r="AN31" i="16"/>
  <c r="AN15" i="16"/>
  <c r="AN7" i="16"/>
  <c r="AV34" i="16"/>
  <c r="AT34" i="16" s="1"/>
  <c r="AN34" i="16"/>
  <c r="AN46" i="16"/>
  <c r="AV46" i="16"/>
  <c r="AT46" i="16" s="1"/>
  <c r="AN21" i="16"/>
  <c r="AV41" i="16"/>
  <c r="AT41" i="16" s="1"/>
  <c r="AN41" i="16"/>
  <c r="AN37" i="16"/>
  <c r="AN11" i="16"/>
  <c r="AN25" i="16"/>
  <c r="AN30" i="16"/>
  <c r="AN47" i="16"/>
  <c r="AV47" i="16"/>
  <c r="AT47" i="16" s="1"/>
  <c r="AV22" i="16"/>
  <c r="AT22" i="16" s="1"/>
  <c r="AN22" i="16"/>
  <c r="AI14" i="57"/>
  <c r="AK35" i="55"/>
  <c r="AN13" i="16"/>
  <c r="AN16" i="16"/>
  <c r="AV26" i="16"/>
  <c r="AT26" i="16" s="1"/>
  <c r="AN26" i="16"/>
  <c r="AV48" i="16"/>
  <c r="AT48" i="16" s="1"/>
  <c r="AN48" i="16"/>
  <c r="AV35" i="16"/>
  <c r="AT35" i="16" s="1"/>
  <c r="AN35" i="16"/>
  <c r="AN24" i="16"/>
  <c r="AV42" i="16"/>
  <c r="AT42" i="16" s="1"/>
  <c r="AN42" i="16"/>
  <c r="AV32" i="16"/>
  <c r="AT32" i="16" s="1"/>
  <c r="AN32" i="16"/>
  <c r="AA52" i="16"/>
  <c r="AN20" i="16"/>
  <c r="AN12" i="16"/>
  <c r="AN39" i="16"/>
  <c r="AV39" i="16"/>
  <c r="AT39" i="16" s="1"/>
  <c r="AV36" i="16"/>
  <c r="AT36" i="16" s="1"/>
  <c r="AN36" i="16"/>
  <c r="AV45" i="16"/>
  <c r="AT45" i="16" s="1"/>
  <c r="AN45" i="16"/>
  <c r="AV29" i="16"/>
  <c r="AT29" i="16" s="1"/>
  <c r="AN29" i="16"/>
  <c r="AN23" i="16"/>
  <c r="AV33" i="16"/>
  <c r="AT33" i="16" s="1"/>
  <c r="AN33" i="16"/>
  <c r="AV49" i="16"/>
  <c r="AT49" i="16" s="1"/>
  <c r="AN49" i="16"/>
  <c r="AJ49" i="16" s="1"/>
  <c r="AN8" i="16"/>
  <c r="AV51" i="16"/>
  <c r="AT51" i="16" s="1"/>
  <c r="AN51" i="16"/>
  <c r="AJ51" i="16" s="1"/>
  <c r="AV28" i="16"/>
  <c r="AT28" i="16" s="1"/>
  <c r="AN28" i="16"/>
  <c r="AV40" i="16"/>
  <c r="AT40" i="16" s="1"/>
  <c r="AN40" i="16"/>
  <c r="BK10" i="16" l="1"/>
  <c r="BK24" i="16"/>
  <c r="BK50" i="16"/>
  <c r="BK44" i="16"/>
  <c r="BK28" i="16"/>
  <c r="BK14" i="16"/>
  <c r="BK20" i="16"/>
  <c r="BK46" i="16"/>
  <c r="BK38" i="16"/>
  <c r="BK26" i="16"/>
  <c r="BK43" i="16"/>
  <c r="BK19" i="16"/>
  <c r="BK8" i="16"/>
  <c r="BK41" i="16"/>
  <c r="BK16" i="16"/>
  <c r="BK25" i="16"/>
  <c r="BK32" i="16"/>
  <c r="BK33" i="16"/>
  <c r="BK13" i="16"/>
  <c r="BK39" i="16"/>
  <c r="BK22" i="16"/>
  <c r="BK45" i="16"/>
  <c r="BK51" i="16"/>
  <c r="BJ39" i="16"/>
  <c r="S39" i="16" s="1"/>
  <c r="T39" i="16" s="1"/>
  <c r="BJ20" i="16"/>
  <c r="S20" i="16" s="1"/>
  <c r="T20" i="16" s="1"/>
  <c r="BJ37" i="16"/>
  <c r="BJ21" i="16"/>
  <c r="BJ26" i="16"/>
  <c r="S26" i="16" s="1"/>
  <c r="W26" i="16" s="1"/>
  <c r="BJ41" i="16"/>
  <c r="S41" i="16" s="1"/>
  <c r="T41" i="16" s="1"/>
  <c r="BJ43" i="16"/>
  <c r="S43" i="16" s="1"/>
  <c r="BJ19" i="16"/>
  <c r="S19" i="16" s="1"/>
  <c r="BJ6" i="16"/>
  <c r="BJ18" i="16"/>
  <c r="S18" i="16" s="1"/>
  <c r="BJ51" i="16"/>
  <c r="S51" i="16" s="1"/>
  <c r="W51" i="16" s="1"/>
  <c r="BJ34" i="16"/>
  <c r="BK30" i="16"/>
  <c r="BK21" i="16"/>
  <c r="BK47" i="16"/>
  <c r="BK36" i="16"/>
  <c r="BK23" i="16"/>
  <c r="BK9" i="16"/>
  <c r="BK12" i="16"/>
  <c r="BK37" i="16"/>
  <c r="BK17" i="16"/>
  <c r="BK48" i="16"/>
  <c r="BK40" i="16"/>
  <c r="BK34" i="16"/>
  <c r="BK35" i="16"/>
  <c r="BK31" i="16"/>
  <c r="BK15" i="16"/>
  <c r="BK6" i="16"/>
  <c r="BK27" i="16"/>
  <c r="BK42" i="16"/>
  <c r="BK49" i="16"/>
  <c r="BK11" i="16"/>
  <c r="BK7" i="16"/>
  <c r="BK29" i="16"/>
  <c r="AA53" i="16"/>
  <c r="BJ28" i="16" s="1"/>
  <c r="S28" i="16" s="1"/>
  <c r="I11" i="8"/>
  <c r="AG8" i="55"/>
  <c r="C24" i="16"/>
  <c r="C23" i="16"/>
  <c r="C30" i="16"/>
  <c r="C42" i="16"/>
  <c r="C32" i="16"/>
  <c r="C34" i="16"/>
  <c r="C25" i="16"/>
  <c r="C21" i="16"/>
  <c r="C46" i="16"/>
  <c r="C31" i="16"/>
  <c r="C40" i="16"/>
  <c r="C39" i="16"/>
  <c r="C20" i="16"/>
  <c r="C26" i="16"/>
  <c r="AE9" i="55"/>
  <c r="C49" i="16"/>
  <c r="C35" i="16"/>
  <c r="C16" i="16"/>
  <c r="C22" i="16"/>
  <c r="C41" i="16"/>
  <c r="C15" i="16"/>
  <c r="AE28" i="55"/>
  <c r="AE9" i="57"/>
  <c r="AG15" i="55"/>
  <c r="AG18" i="57"/>
  <c r="AG7" i="57"/>
  <c r="AG42" i="55"/>
  <c r="AG16" i="57"/>
  <c r="AG22" i="55"/>
  <c r="AG9" i="57"/>
  <c r="AG28" i="55"/>
  <c r="AG23" i="55"/>
  <c r="AD23" i="55" s="1"/>
  <c r="AE44" i="55"/>
  <c r="AE11" i="57"/>
  <c r="AE36" i="55"/>
  <c r="AE43" i="55"/>
  <c r="AG10" i="57"/>
  <c r="AG7" i="55"/>
  <c r="AG21" i="55"/>
  <c r="AG12" i="57"/>
  <c r="AE35" i="55"/>
  <c r="AE29" i="55"/>
  <c r="AD29" i="55" s="1"/>
  <c r="AE8" i="57"/>
  <c r="AE42" i="55"/>
  <c r="AE13" i="57"/>
  <c r="AI9" i="55"/>
  <c r="AG36" i="55"/>
  <c r="AG8" i="57"/>
  <c r="AE14" i="55"/>
  <c r="AE7" i="57"/>
  <c r="AE10" i="57"/>
  <c r="AE7" i="55"/>
  <c r="AG16" i="55"/>
  <c r="AG43" i="55"/>
  <c r="AG44" i="55"/>
  <c r="AG11" i="57"/>
  <c r="AE21" i="55"/>
  <c r="AE12" i="57"/>
  <c r="AE15" i="55"/>
  <c r="AE18" i="57"/>
  <c r="AG17" i="57"/>
  <c r="AD17" i="57" s="1"/>
  <c r="AG14" i="55"/>
  <c r="AE22" i="55"/>
  <c r="AE16" i="57"/>
  <c r="AI35" i="55"/>
  <c r="AK14" i="57"/>
  <c r="AD14" i="57" s="1"/>
  <c r="AE16" i="55"/>
  <c r="AE8" i="55"/>
  <c r="AG13" i="57"/>
  <c r="AK9" i="55"/>
  <c r="T26" i="16"/>
  <c r="I40" i="16"/>
  <c r="G40" i="16"/>
  <c r="I28" i="16"/>
  <c r="G28" i="16"/>
  <c r="E51" i="16"/>
  <c r="T51" i="16"/>
  <c r="G8" i="16"/>
  <c r="G49" i="16"/>
  <c r="I49" i="16"/>
  <c r="G33" i="16"/>
  <c r="I33" i="16"/>
  <c r="G29" i="16"/>
  <c r="I29" i="16"/>
  <c r="G45" i="16"/>
  <c r="I45" i="16"/>
  <c r="G36" i="16"/>
  <c r="I36" i="16"/>
  <c r="I12" i="16"/>
  <c r="G12" i="16"/>
  <c r="I20" i="16"/>
  <c r="W20" i="16"/>
  <c r="G20" i="16"/>
  <c r="I48" i="16"/>
  <c r="G48" i="16"/>
  <c r="I23" i="16"/>
  <c r="E23" i="16"/>
  <c r="G39" i="16"/>
  <c r="I39" i="16"/>
  <c r="I32" i="16"/>
  <c r="G32" i="16"/>
  <c r="I42" i="16"/>
  <c r="G42" i="16"/>
  <c r="G24" i="16"/>
  <c r="I24" i="16"/>
  <c r="I35" i="16"/>
  <c r="E35" i="16"/>
  <c r="I26" i="16"/>
  <c r="G26" i="16"/>
  <c r="E16" i="16"/>
  <c r="I16" i="16"/>
  <c r="I13" i="16"/>
  <c r="G13" i="16"/>
  <c r="G22" i="16"/>
  <c r="I22" i="16"/>
  <c r="E47" i="16"/>
  <c r="I47" i="16"/>
  <c r="G30" i="16"/>
  <c r="I30" i="16"/>
  <c r="G25" i="16"/>
  <c r="I25" i="16"/>
  <c r="G11" i="16"/>
  <c r="I11" i="16"/>
  <c r="G37" i="16"/>
  <c r="I37" i="16"/>
  <c r="G41" i="16"/>
  <c r="I41" i="16"/>
  <c r="G21" i="16"/>
  <c r="I21" i="16"/>
  <c r="I46" i="16"/>
  <c r="G46" i="16"/>
  <c r="I34" i="16"/>
  <c r="E34" i="16"/>
  <c r="G7" i="16"/>
  <c r="G15" i="16"/>
  <c r="I15" i="16"/>
  <c r="G10" i="16"/>
  <c r="I10" i="16"/>
  <c r="G31" i="16"/>
  <c r="I31" i="16"/>
  <c r="W41" i="16" l="1"/>
  <c r="BJ10" i="16"/>
  <c r="S10" i="16" s="1"/>
  <c r="BJ40" i="16"/>
  <c r="S40" i="16" s="1"/>
  <c r="BJ24" i="16"/>
  <c r="S24" i="16" s="1"/>
  <c r="BJ14" i="16"/>
  <c r="S14" i="16" s="1"/>
  <c r="BJ15" i="16"/>
  <c r="S15" i="16" s="1"/>
  <c r="T15" i="16" s="1"/>
  <c r="BJ12" i="16"/>
  <c r="S12" i="16" s="1"/>
  <c r="BJ33" i="16"/>
  <c r="S33" i="16" s="1"/>
  <c r="BJ23" i="16"/>
  <c r="S23" i="16" s="1"/>
  <c r="BJ36" i="16"/>
  <c r="S36" i="16" s="1"/>
  <c r="BJ9" i="16"/>
  <c r="BJ46" i="16"/>
  <c r="S46" i="16" s="1"/>
  <c r="W28" i="16"/>
  <c r="T28" i="16"/>
  <c r="S34" i="16"/>
  <c r="W18" i="16"/>
  <c r="T18" i="16"/>
  <c r="T14" i="16"/>
  <c r="W14" i="16"/>
  <c r="T19" i="16"/>
  <c r="W19" i="16"/>
  <c r="T43" i="16"/>
  <c r="W43" i="16"/>
  <c r="S21" i="16"/>
  <c r="S37" i="16"/>
  <c r="S9" i="16"/>
  <c r="W15" i="16"/>
  <c r="W39" i="16"/>
  <c r="AD18" i="57"/>
  <c r="BJ44" i="16"/>
  <c r="S44" i="16" s="1"/>
  <c r="BJ29" i="16"/>
  <c r="S29" i="16" s="1"/>
  <c r="BJ11" i="16"/>
  <c r="S11" i="16" s="1"/>
  <c r="BJ22" i="16"/>
  <c r="S22" i="16" s="1"/>
  <c r="BJ8" i="16"/>
  <c r="S8" i="16" s="1"/>
  <c r="BJ45" i="16"/>
  <c r="S45" i="16" s="1"/>
  <c r="BJ25" i="16"/>
  <c r="S25" i="16" s="1"/>
  <c r="BJ16" i="16"/>
  <c r="S16" i="16" s="1"/>
  <c r="BJ31" i="16"/>
  <c r="S31" i="16" s="1"/>
  <c r="BJ30" i="16"/>
  <c r="S30" i="16" s="1"/>
  <c r="BJ17" i="16"/>
  <c r="S17" i="16" s="1"/>
  <c r="BJ48" i="16"/>
  <c r="S48" i="16" s="1"/>
  <c r="BJ7" i="16"/>
  <c r="S7" i="16" s="1"/>
  <c r="BJ49" i="16"/>
  <c r="S49" i="16" s="1"/>
  <c r="BJ32" i="16"/>
  <c r="S32" i="16" s="1"/>
  <c r="BJ50" i="16"/>
  <c r="S50" i="16" s="1"/>
  <c r="BJ47" i="16"/>
  <c r="S47" i="16" s="1"/>
  <c r="BJ38" i="16"/>
  <c r="S38" i="16" s="1"/>
  <c r="BJ35" i="16"/>
  <c r="S35" i="16" s="1"/>
  <c r="BJ27" i="16"/>
  <c r="S27" i="16" s="1"/>
  <c r="BJ13" i="16"/>
  <c r="S13" i="16" s="1"/>
  <c r="BJ42" i="16"/>
  <c r="S42" i="16" s="1"/>
  <c r="AD8" i="55"/>
  <c r="AD7" i="57"/>
  <c r="AD21" i="55"/>
  <c r="AD16" i="55"/>
  <c r="AD15" i="55"/>
  <c r="AD16" i="57"/>
  <c r="AD12" i="57"/>
  <c r="AD7" i="55"/>
  <c r="AD42" i="55"/>
  <c r="AD10" i="57"/>
  <c r="AD28" i="55"/>
  <c r="AD9" i="55"/>
  <c r="AD14" i="55"/>
  <c r="AD8" i="57"/>
  <c r="AD43" i="55"/>
  <c r="AD36" i="55"/>
  <c r="AD11" i="57"/>
  <c r="AD9" i="57"/>
  <c r="AD13" i="57"/>
  <c r="AD35" i="55"/>
  <c r="AD44" i="55"/>
  <c r="AD22" i="55"/>
  <c r="T46" i="16" l="1"/>
  <c r="W46" i="16"/>
  <c r="W33" i="16"/>
  <c r="T33" i="16"/>
  <c r="W24" i="16"/>
  <c r="T24" i="16"/>
  <c r="T10" i="16"/>
  <c r="W10" i="16"/>
  <c r="T23" i="16"/>
  <c r="W23" i="16"/>
  <c r="T12" i="16"/>
  <c r="W12" i="16"/>
  <c r="T40" i="16"/>
  <c r="W40" i="16"/>
  <c r="T42" i="16"/>
  <c r="W42" i="16"/>
  <c r="T27" i="16"/>
  <c r="W27" i="16"/>
  <c r="W38" i="16"/>
  <c r="T38" i="16"/>
  <c r="T50" i="16"/>
  <c r="W50" i="16"/>
  <c r="T49" i="16"/>
  <c r="W49" i="16"/>
  <c r="W48" i="16"/>
  <c r="T48" i="16"/>
  <c r="T30" i="16"/>
  <c r="W30" i="16"/>
  <c r="T16" i="16"/>
  <c r="W16" i="16"/>
  <c r="T45" i="16"/>
  <c r="W45" i="16"/>
  <c r="W22" i="16"/>
  <c r="T22" i="16"/>
  <c r="T29" i="16"/>
  <c r="W29" i="16"/>
  <c r="T37" i="16"/>
  <c r="W37" i="16"/>
  <c r="T21" i="16"/>
  <c r="W21" i="16"/>
  <c r="T13" i="16"/>
  <c r="W13" i="16"/>
  <c r="T35" i="16"/>
  <c r="W35" i="16"/>
  <c r="T47" i="16"/>
  <c r="W47" i="16"/>
  <c r="W32" i="16"/>
  <c r="T32" i="16"/>
  <c r="W7" i="16"/>
  <c r="T7" i="16"/>
  <c r="W17" i="16"/>
  <c r="T17" i="16"/>
  <c r="W31" i="16"/>
  <c r="T31" i="16"/>
  <c r="W25" i="16"/>
  <c r="T25" i="16"/>
  <c r="W8" i="16"/>
  <c r="T8" i="16"/>
  <c r="W11" i="16"/>
  <c r="T11" i="16"/>
  <c r="W44" i="16"/>
  <c r="T44" i="16"/>
  <c r="T9" i="16"/>
  <c r="W9" i="16"/>
  <c r="T36" i="16"/>
  <c r="W36" i="16"/>
  <c r="T34" i="16"/>
  <c r="U34" i="16" s="1"/>
  <c r="W34" i="16"/>
  <c r="X34" i="16" s="1"/>
  <c r="D34" i="16"/>
  <c r="B34" i="16"/>
  <c r="H34" i="16"/>
  <c r="J34" i="16"/>
  <c r="F34" i="16"/>
  <c r="X36" i="16" l="1"/>
  <c r="X9" i="16"/>
  <c r="U44" i="16"/>
  <c r="U11" i="16"/>
  <c r="U8" i="16"/>
  <c r="U25" i="16"/>
  <c r="U31" i="16"/>
  <c r="U17" i="16"/>
  <c r="U18" i="16"/>
  <c r="U10" i="16"/>
  <c r="U15" i="16"/>
  <c r="U23" i="16"/>
  <c r="U12" i="16"/>
  <c r="U41" i="16"/>
  <c r="U40" i="16"/>
  <c r="U19" i="16"/>
  <c r="U43" i="16"/>
  <c r="U26" i="16"/>
  <c r="U20" i="16"/>
  <c r="U39" i="16"/>
  <c r="U51" i="16"/>
  <c r="U7" i="16"/>
  <c r="U46" i="16"/>
  <c r="U24" i="16"/>
  <c r="U33" i="16"/>
  <c r="U32" i="16"/>
  <c r="X47" i="16"/>
  <c r="X35" i="16"/>
  <c r="X13" i="16"/>
  <c r="X21" i="16"/>
  <c r="X37" i="16"/>
  <c r="X29" i="16"/>
  <c r="U22" i="16"/>
  <c r="X45" i="16"/>
  <c r="X16" i="16"/>
  <c r="X30" i="16"/>
  <c r="U48" i="16"/>
  <c r="X49" i="16"/>
  <c r="X50" i="16"/>
  <c r="U38" i="16"/>
  <c r="X27" i="16"/>
  <c r="X42" i="16"/>
  <c r="U14" i="16"/>
  <c r="U36" i="16"/>
  <c r="U9" i="16"/>
  <c r="X44" i="16"/>
  <c r="X11" i="16"/>
  <c r="X8" i="16"/>
  <c r="X25" i="16"/>
  <c r="X31" i="16"/>
  <c r="X17" i="16"/>
  <c r="X43" i="16"/>
  <c r="X24" i="16"/>
  <c r="X20" i="16"/>
  <c r="X46" i="16"/>
  <c r="X7" i="16"/>
  <c r="X28" i="16"/>
  <c r="X19" i="16"/>
  <c r="X18" i="16"/>
  <c r="X14" i="16"/>
  <c r="X10" i="16"/>
  <c r="X15" i="16"/>
  <c r="X23" i="16"/>
  <c r="X51" i="16"/>
  <c r="X41" i="16"/>
  <c r="X26" i="16"/>
  <c r="X33" i="16"/>
  <c r="X39" i="16"/>
  <c r="X12" i="16"/>
  <c r="X40" i="16"/>
  <c r="X32" i="16"/>
  <c r="U47" i="16"/>
  <c r="U35" i="16"/>
  <c r="U13" i="16"/>
  <c r="U21" i="16"/>
  <c r="U37" i="16"/>
  <c r="U29" i="16"/>
  <c r="X22" i="16"/>
  <c r="U45" i="16"/>
  <c r="U16" i="16"/>
  <c r="U30" i="16"/>
  <c r="X48" i="16"/>
  <c r="U49" i="16"/>
  <c r="U50" i="16"/>
  <c r="X38" i="16"/>
  <c r="U27" i="16"/>
  <c r="U42" i="16"/>
  <c r="U28" i="16"/>
  <c r="AJ35" i="16"/>
  <c r="AJ33" i="16"/>
  <c r="AJ50" i="16"/>
  <c r="AJ29" i="16"/>
  <c r="AJ39" i="16"/>
  <c r="AJ42" i="16"/>
  <c r="AJ40" i="16"/>
  <c r="AJ47" i="16"/>
  <c r="AJ48" i="16"/>
  <c r="I50" i="16"/>
  <c r="AJ43" i="16"/>
  <c r="AJ46" i="16"/>
  <c r="I51" i="16"/>
  <c r="I7" i="16"/>
  <c r="I8" i="16"/>
  <c r="Y48" i="16" l="1"/>
  <c r="B27" i="16"/>
  <c r="J27" i="16"/>
  <c r="H27" i="16"/>
  <c r="K27" i="16"/>
  <c r="AJ27" i="16" s="1"/>
  <c r="F27" i="16"/>
  <c r="D27" i="16"/>
  <c r="B16" i="16"/>
  <c r="J16" i="16"/>
  <c r="K16" i="16"/>
  <c r="AJ16" i="16" s="1"/>
  <c r="D16" i="16"/>
  <c r="H16" i="16"/>
  <c r="F16" i="16"/>
  <c r="Y22" i="16"/>
  <c r="B37" i="16"/>
  <c r="J37" i="16"/>
  <c r="K37" i="16"/>
  <c r="AJ37" i="16" s="1"/>
  <c r="D37" i="16"/>
  <c r="H37" i="16"/>
  <c r="F37" i="16"/>
  <c r="B13" i="16"/>
  <c r="H13" i="16"/>
  <c r="F13" i="16"/>
  <c r="J13" i="16"/>
  <c r="D13" i="16"/>
  <c r="K13" i="16"/>
  <c r="AJ13" i="16" s="1"/>
  <c r="D47" i="16"/>
  <c r="B47" i="16"/>
  <c r="J47" i="16"/>
  <c r="H47" i="16"/>
  <c r="K47" i="16"/>
  <c r="AL47" i="16" s="1"/>
  <c r="F47" i="16"/>
  <c r="Y40" i="16"/>
  <c r="Y39" i="16"/>
  <c r="Y26" i="16"/>
  <c r="Y51" i="16"/>
  <c r="Y15" i="16"/>
  <c r="Y14" i="16"/>
  <c r="Y19" i="16"/>
  <c r="Y34" i="16"/>
  <c r="Y7" i="16"/>
  <c r="Y20" i="16"/>
  <c r="Y43" i="16"/>
  <c r="Y31" i="16"/>
  <c r="Y8" i="16"/>
  <c r="Y44" i="16"/>
  <c r="D36" i="16"/>
  <c r="B36" i="16"/>
  <c r="J36" i="16"/>
  <c r="K36" i="16"/>
  <c r="AJ36" i="16" s="1"/>
  <c r="F36" i="16"/>
  <c r="H36" i="16"/>
  <c r="Y42" i="16"/>
  <c r="B38" i="16"/>
  <c r="D38" i="16"/>
  <c r="H38" i="16"/>
  <c r="K38" i="16"/>
  <c r="AJ38" i="16" s="1"/>
  <c r="F38" i="16"/>
  <c r="J38" i="16"/>
  <c r="Y49" i="16"/>
  <c r="Y30" i="16"/>
  <c r="Y45" i="16"/>
  <c r="Y29" i="16"/>
  <c r="Y21" i="16"/>
  <c r="Y35" i="16"/>
  <c r="D32" i="16"/>
  <c r="B32" i="16"/>
  <c r="F32" i="16"/>
  <c r="K32" i="16"/>
  <c r="AJ32" i="16" s="1"/>
  <c r="H32" i="16"/>
  <c r="J32" i="16"/>
  <c r="D24" i="16"/>
  <c r="B24" i="16"/>
  <c r="J24" i="16"/>
  <c r="H24" i="16"/>
  <c r="K24" i="16"/>
  <c r="AJ24" i="16" s="1"/>
  <c r="F24" i="16"/>
  <c r="D7" i="16"/>
  <c r="B7" i="16"/>
  <c r="K34" i="16"/>
  <c r="AJ34" i="16" s="1"/>
  <c r="J7" i="16"/>
  <c r="H7" i="16"/>
  <c r="F7" i="16"/>
  <c r="K7" i="16"/>
  <c r="B39" i="16"/>
  <c r="H39" i="16"/>
  <c r="K39" i="16"/>
  <c r="AL39" i="16" s="1"/>
  <c r="J39" i="16"/>
  <c r="D39" i="16"/>
  <c r="F39" i="16"/>
  <c r="D26" i="16"/>
  <c r="B26" i="16"/>
  <c r="J26" i="16"/>
  <c r="K26" i="16"/>
  <c r="AJ26" i="16" s="1"/>
  <c r="F26" i="16"/>
  <c r="H26" i="16"/>
  <c r="B19" i="16"/>
  <c r="D19" i="16"/>
  <c r="H19" i="16"/>
  <c r="F19" i="16"/>
  <c r="J19" i="16"/>
  <c r="K19" i="16"/>
  <c r="AJ19" i="16" s="1"/>
  <c r="D41" i="16"/>
  <c r="B41" i="16"/>
  <c r="H41" i="16"/>
  <c r="F41" i="16"/>
  <c r="K41" i="16"/>
  <c r="AJ41" i="16" s="1"/>
  <c r="J41" i="16"/>
  <c r="B23" i="16"/>
  <c r="H23" i="16"/>
  <c r="F23" i="16"/>
  <c r="K23" i="16"/>
  <c r="AJ23" i="16" s="1"/>
  <c r="D23" i="16"/>
  <c r="J23" i="16"/>
  <c r="B10" i="16"/>
  <c r="F10" i="16"/>
  <c r="K10" i="16"/>
  <c r="AJ10" i="16" s="1"/>
  <c r="D10" i="16"/>
  <c r="J10" i="16"/>
  <c r="H10" i="16"/>
  <c r="D17" i="16"/>
  <c r="B17" i="16"/>
  <c r="F17" i="16"/>
  <c r="H17" i="16"/>
  <c r="K17" i="16"/>
  <c r="AJ17" i="16" s="1"/>
  <c r="J17" i="16"/>
  <c r="D25" i="16"/>
  <c r="B25" i="16"/>
  <c r="J25" i="16"/>
  <c r="H25" i="16"/>
  <c r="K25" i="16"/>
  <c r="AJ25" i="16" s="1"/>
  <c r="F25" i="16"/>
  <c r="D11" i="16"/>
  <c r="B11" i="16"/>
  <c r="F11" i="16"/>
  <c r="K11" i="16"/>
  <c r="AJ11" i="16" s="1"/>
  <c r="H11" i="16"/>
  <c r="J11" i="16"/>
  <c r="Y9" i="16"/>
  <c r="D28" i="16"/>
  <c r="B28" i="16"/>
  <c r="H28" i="16"/>
  <c r="F28" i="16"/>
  <c r="K28" i="16"/>
  <c r="AJ28" i="16" s="1"/>
  <c r="J28" i="16"/>
  <c r="B50" i="16"/>
  <c r="D50" i="16"/>
  <c r="F50" i="16"/>
  <c r="H50" i="16"/>
  <c r="K50" i="16"/>
  <c r="J50" i="16"/>
  <c r="B42" i="16"/>
  <c r="J42" i="16"/>
  <c r="K42" i="16"/>
  <c r="D42" i="16"/>
  <c r="F42" i="16"/>
  <c r="H42" i="16"/>
  <c r="Y38" i="16"/>
  <c r="D49" i="16"/>
  <c r="B49" i="16"/>
  <c r="F49" i="16"/>
  <c r="K49" i="16"/>
  <c r="AL49" i="16" s="1"/>
  <c r="H49" i="16"/>
  <c r="J49" i="16"/>
  <c r="D30" i="16"/>
  <c r="B30" i="16"/>
  <c r="F30" i="16"/>
  <c r="K30" i="16"/>
  <c r="AJ30" i="16" s="1"/>
  <c r="H30" i="16"/>
  <c r="J30" i="16"/>
  <c r="D45" i="16"/>
  <c r="B45" i="16"/>
  <c r="F45" i="16"/>
  <c r="K45" i="16"/>
  <c r="AJ45" i="16" s="1"/>
  <c r="H45" i="16"/>
  <c r="J45" i="16"/>
  <c r="B29" i="16"/>
  <c r="F29" i="16"/>
  <c r="K29" i="16"/>
  <c r="D29" i="16"/>
  <c r="H29" i="16"/>
  <c r="J29" i="16"/>
  <c r="D21" i="16"/>
  <c r="B21" i="16"/>
  <c r="F21" i="16"/>
  <c r="K21" i="16"/>
  <c r="AJ21" i="16" s="1"/>
  <c r="J21" i="16"/>
  <c r="H21" i="16"/>
  <c r="D35" i="16"/>
  <c r="B35" i="16"/>
  <c r="K35" i="16"/>
  <c r="J35" i="16"/>
  <c r="H35" i="16"/>
  <c r="F35" i="16"/>
  <c r="Y32" i="16"/>
  <c r="Y12" i="16"/>
  <c r="Y33" i="16"/>
  <c r="Y41" i="16"/>
  <c r="Y23" i="16"/>
  <c r="Y10" i="16"/>
  <c r="Y18" i="16"/>
  <c r="Y28" i="16"/>
  <c r="Y46" i="16"/>
  <c r="Y24" i="16"/>
  <c r="Y17" i="16"/>
  <c r="Y25" i="16"/>
  <c r="Y11" i="16"/>
  <c r="B9" i="16"/>
  <c r="D9" i="16"/>
  <c r="H9" i="16"/>
  <c r="J9" i="16"/>
  <c r="K9" i="16"/>
  <c r="AJ9" i="16" s="1"/>
  <c r="F9" i="16"/>
  <c r="B14" i="16"/>
  <c r="D14" i="16"/>
  <c r="H14" i="16"/>
  <c r="K14" i="16"/>
  <c r="AJ14" i="16" s="1"/>
  <c r="J14" i="16"/>
  <c r="F14" i="16"/>
  <c r="Y27" i="16"/>
  <c r="Y50" i="16"/>
  <c r="D48" i="16"/>
  <c r="B48" i="16"/>
  <c r="F48" i="16"/>
  <c r="H48" i="16"/>
  <c r="K48" i="16"/>
  <c r="J48" i="16"/>
  <c r="Y16" i="16"/>
  <c r="D22" i="16"/>
  <c r="B22" i="16"/>
  <c r="J22" i="16"/>
  <c r="H22" i="16"/>
  <c r="K22" i="16"/>
  <c r="AJ22" i="16" s="1"/>
  <c r="F22" i="16"/>
  <c r="Y37" i="16"/>
  <c r="Y13" i="16"/>
  <c r="Y47" i="16"/>
  <c r="D33" i="16"/>
  <c r="B33" i="16"/>
  <c r="J33" i="16"/>
  <c r="K33" i="16"/>
  <c r="F33" i="16"/>
  <c r="H33" i="16"/>
  <c r="D46" i="16"/>
  <c r="B46" i="16"/>
  <c r="J46" i="16"/>
  <c r="F46" i="16"/>
  <c r="K46" i="16"/>
  <c r="H46" i="16"/>
  <c r="D51" i="16"/>
  <c r="B51" i="16"/>
  <c r="F51" i="16"/>
  <c r="K51" i="16"/>
  <c r="AL51" i="16" s="1"/>
  <c r="J51" i="16"/>
  <c r="H51" i="16"/>
  <c r="D20" i="16"/>
  <c r="B20" i="16"/>
  <c r="J20" i="16"/>
  <c r="H20" i="16"/>
  <c r="F20" i="16"/>
  <c r="K20" i="16"/>
  <c r="AJ20" i="16" s="1"/>
  <c r="B43" i="16"/>
  <c r="D43" i="16"/>
  <c r="J43" i="16"/>
  <c r="F43" i="16"/>
  <c r="H43" i="16"/>
  <c r="K43" i="16"/>
  <c r="AL43" i="16" s="1"/>
  <c r="D40" i="16"/>
  <c r="B40" i="16"/>
  <c r="K40" i="16"/>
  <c r="J40" i="16"/>
  <c r="H40" i="16"/>
  <c r="F40" i="16"/>
  <c r="B12" i="16"/>
  <c r="D12" i="16"/>
  <c r="H12" i="16"/>
  <c r="K12" i="16"/>
  <c r="AJ12" i="16" s="1"/>
  <c r="J12" i="16"/>
  <c r="F12" i="16"/>
  <c r="B15" i="16"/>
  <c r="J15" i="16"/>
  <c r="K15" i="16"/>
  <c r="AJ15" i="16" s="1"/>
  <c r="H15" i="16"/>
  <c r="D15" i="16"/>
  <c r="F15" i="16"/>
  <c r="B18" i="16"/>
  <c r="F18" i="16"/>
  <c r="D18" i="16"/>
  <c r="K18" i="16"/>
  <c r="AJ18" i="16" s="1"/>
  <c r="H18" i="16"/>
  <c r="J18" i="16"/>
  <c r="D31" i="16"/>
  <c r="B31" i="16"/>
  <c r="J31" i="16"/>
  <c r="K31" i="16"/>
  <c r="AJ31" i="16" s="1"/>
  <c r="AL31" i="16" s="1"/>
  <c r="F31" i="16"/>
  <c r="H31" i="16"/>
  <c r="D8" i="16"/>
  <c r="B8" i="16"/>
  <c r="A8" i="16" s="1"/>
  <c r="F8" i="16"/>
  <c r="K8" i="16"/>
  <c r="AJ8" i="16" s="1"/>
  <c r="H8" i="16"/>
  <c r="J8" i="16"/>
  <c r="B44" i="16"/>
  <c r="J44" i="16"/>
  <c r="H44" i="16"/>
  <c r="K44" i="16"/>
  <c r="AL44" i="16" s="1"/>
  <c r="F44" i="16"/>
  <c r="D44" i="16"/>
  <c r="Y36" i="16"/>
  <c r="AL35" i="16"/>
  <c r="AL33" i="16"/>
  <c r="AL50" i="16"/>
  <c r="AL29" i="16"/>
  <c r="AL42" i="16"/>
  <c r="AL40" i="16"/>
  <c r="AL48" i="16"/>
  <c r="AL45" i="16"/>
  <c r="AL46" i="16"/>
  <c r="A31" i="16" l="1"/>
  <c r="E15" i="16"/>
  <c r="E12" i="16"/>
  <c r="C12" i="16"/>
  <c r="E40" i="16"/>
  <c r="G51" i="16"/>
  <c r="A51" i="16"/>
  <c r="E46" i="16"/>
  <c r="A46" i="16"/>
  <c r="A33" i="16"/>
  <c r="A48" i="16"/>
  <c r="E14" i="16"/>
  <c r="E9" i="16"/>
  <c r="G35" i="16"/>
  <c r="E21" i="16"/>
  <c r="A29" i="16"/>
  <c r="E45" i="16"/>
  <c r="C45" i="16"/>
  <c r="E30" i="16"/>
  <c r="E49" i="16"/>
  <c r="G50" i="16"/>
  <c r="E28" i="16"/>
  <c r="A28" i="16"/>
  <c r="E11" i="16"/>
  <c r="C11" i="16"/>
  <c r="E17" i="16"/>
  <c r="A10" i="16"/>
  <c r="A23" i="16"/>
  <c r="I19" i="16"/>
  <c r="G19" i="16"/>
  <c r="A19" i="16"/>
  <c r="E26" i="16"/>
  <c r="E7" i="16"/>
  <c r="A34" i="16"/>
  <c r="A7" i="16"/>
  <c r="E24" i="16"/>
  <c r="A32" i="16"/>
  <c r="I38" i="16"/>
  <c r="E36" i="16"/>
  <c r="C36" i="16"/>
  <c r="C47" i="16"/>
  <c r="C13" i="16"/>
  <c r="E13" i="16"/>
  <c r="A13" i="16"/>
  <c r="A37" i="16"/>
  <c r="C27" i="16"/>
  <c r="I27" i="16"/>
  <c r="A44" i="16"/>
  <c r="E8" i="16"/>
  <c r="C8" i="16"/>
  <c r="E31" i="16"/>
  <c r="G18" i="16"/>
  <c r="C18" i="16"/>
  <c r="A18" i="16"/>
  <c r="A15" i="16"/>
  <c r="A12" i="16"/>
  <c r="G43" i="16"/>
  <c r="A43" i="16"/>
  <c r="E20" i="16"/>
  <c r="C51" i="16"/>
  <c r="E33" i="16"/>
  <c r="C33" i="16"/>
  <c r="E22" i="16"/>
  <c r="A22" i="16"/>
  <c r="E48" i="16"/>
  <c r="C48" i="16"/>
  <c r="A9" i="16"/>
  <c r="C29" i="16"/>
  <c r="E29" i="16"/>
  <c r="A45" i="16"/>
  <c r="A30" i="16"/>
  <c r="A49" i="16"/>
  <c r="E42" i="16"/>
  <c r="C28" i="16"/>
  <c r="A11" i="16"/>
  <c r="E25" i="16"/>
  <c r="A17" i="16"/>
  <c r="C10" i="16"/>
  <c r="E10" i="16"/>
  <c r="G23" i="16"/>
  <c r="E41" i="16"/>
  <c r="A41" i="16"/>
  <c r="A26" i="16"/>
  <c r="E39" i="16"/>
  <c r="AJ7" i="16"/>
  <c r="K52" i="16"/>
  <c r="G34" i="16"/>
  <c r="C7" i="16"/>
  <c r="E32" i="16"/>
  <c r="G38" i="16"/>
  <c r="A38" i="16"/>
  <c r="A36" i="16"/>
  <c r="G47" i="16"/>
  <c r="A47" i="16"/>
  <c r="E37" i="16"/>
  <c r="C37" i="16"/>
  <c r="G16" i="16"/>
  <c r="G52" i="16" s="1"/>
  <c r="A16" i="16"/>
  <c r="E27" i="16"/>
  <c r="A27" i="16"/>
  <c r="AL28" i="16" l="1"/>
  <c r="AL9" i="16"/>
  <c r="AL16" i="16"/>
  <c r="AL15" i="16"/>
  <c r="AL24" i="16"/>
  <c r="AL11" i="16"/>
  <c r="AL27" i="16"/>
  <c r="AL10" i="16"/>
  <c r="AL19" i="16"/>
  <c r="AL18" i="16"/>
  <c r="AL17" i="16"/>
  <c r="AL7" i="16"/>
  <c r="AL23" i="16"/>
  <c r="AL30" i="16"/>
  <c r="AL32" i="16"/>
  <c r="AL34" i="16"/>
  <c r="AL21" i="16"/>
  <c r="AL36" i="16"/>
  <c r="AL37" i="16"/>
  <c r="AL26" i="16"/>
  <c r="AL13" i="16"/>
  <c r="AL20" i="16"/>
  <c r="A52" i="16"/>
  <c r="E52" i="16"/>
  <c r="I52" i="16"/>
  <c r="AL41" i="16"/>
  <c r="AL14" i="16"/>
  <c r="AL12" i="16"/>
  <c r="C52" i="16"/>
  <c r="AL38" i="16"/>
  <c r="AL25" i="16"/>
  <c r="AL22" i="16"/>
  <c r="AL8" i="16"/>
</calcChain>
</file>

<file path=xl/comments1.xml><?xml version="1.0" encoding="utf-8"?>
<comments xmlns="http://schemas.openxmlformats.org/spreadsheetml/2006/main">
  <authors>
    <author>Author</author>
  </authors>
  <commentList>
    <comment ref="I3" authorId="0">
      <text>
        <r>
          <rPr>
            <b/>
            <sz val="8"/>
            <color indexed="81"/>
            <rFont val="Tahoma"/>
            <family val="2"/>
            <charset val="186"/>
          </rPr>
          <t>Osalejaid</t>
        </r>
      </text>
    </comment>
    <comment ref="F5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6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7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9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10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11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12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14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15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16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18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19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20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H20" authorId="0">
      <text>
        <r>
          <rPr>
            <b/>
            <sz val="8"/>
            <color indexed="81"/>
            <rFont val="Tahoma"/>
            <family val="2"/>
            <charset val="186"/>
          </rPr>
          <t>Juuniorid 3 €</t>
        </r>
      </text>
    </comment>
    <comment ref="F23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24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25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27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28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29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F31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K23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K26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K29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K33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M36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M39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J40" authorId="0">
      <text>
        <r>
          <rPr>
            <b/>
            <sz val="8"/>
            <color indexed="81"/>
            <rFont val="Tahoma"/>
            <family val="2"/>
            <charset val="186"/>
          </rPr>
          <t>jõululaupäev</t>
        </r>
      </text>
    </comment>
    <comment ref="L40" authorId="0">
      <text>
        <r>
          <rPr>
            <b/>
            <sz val="8"/>
            <color indexed="81"/>
            <rFont val="Tahoma"/>
            <family val="2"/>
            <charset val="186"/>
          </rPr>
          <t>esimene jõulupüha</t>
        </r>
      </text>
    </comment>
    <comment ref="N40" authorId="0">
      <text>
        <r>
          <rPr>
            <b/>
            <sz val="8"/>
            <color indexed="81"/>
            <rFont val="Tahoma"/>
            <family val="2"/>
            <charset val="186"/>
          </rPr>
          <t>teine jõulupüha</t>
        </r>
      </text>
    </comment>
    <comment ref="L45" authorId="0">
      <text>
        <r>
          <rPr>
            <b/>
            <sz val="8"/>
            <color indexed="81"/>
            <rFont val="Tahoma"/>
            <family val="2"/>
            <charset val="186"/>
          </rPr>
          <t>uusaasta</t>
        </r>
      </text>
    </comment>
    <comment ref="K51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M51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K54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M54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K57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M57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M60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K64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M64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M67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K73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M73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H74" authorId="0">
      <text>
        <r>
          <rPr>
            <b/>
            <sz val="8"/>
            <color indexed="81"/>
            <rFont val="Tahoma"/>
            <family val="2"/>
            <charset val="186"/>
          </rPr>
          <t>iseseisvuspäe, 
Eesti Vabariigi aastapäev</t>
        </r>
      </text>
    </comment>
    <comment ref="G76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K76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M80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M83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M84" authorId="0">
      <text>
        <r>
          <rPr>
            <b/>
            <sz val="8"/>
            <color indexed="81"/>
            <rFont val="Tahoma"/>
            <family val="2"/>
            <charset val="186"/>
          </rPr>
          <t>Alates 2020 aastast peavad Eesti sisemeistrivõistlustel osalemiseks olema: 
 - petankeri litsents, 
 - võistluskuulid.</t>
        </r>
      </text>
    </comment>
    <comment ref="K86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M86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M89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M92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K97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M97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M102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M103" authorId="0">
      <text>
        <r>
          <rPr>
            <b/>
            <sz val="8"/>
            <color indexed="81"/>
            <rFont val="Tahoma"/>
            <family val="2"/>
            <charset val="186"/>
          </rPr>
          <t>Alates 2020 aastast peavad Eesti sisemeistrivõistlustel osalemiseks olema: 
 - petankeri litsents, 
 - võistluskuulid.</t>
        </r>
      </text>
    </comment>
    <comment ref="K105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M105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J106" authorId="0">
      <text>
        <r>
          <rPr>
            <b/>
            <sz val="8"/>
            <color indexed="81"/>
            <rFont val="Tahoma"/>
            <family val="2"/>
            <charset val="186"/>
          </rPr>
          <t>suur reede</t>
        </r>
      </text>
    </comment>
    <comment ref="N106" authorId="0">
      <text>
        <r>
          <rPr>
            <b/>
            <sz val="8"/>
            <color indexed="81"/>
            <rFont val="Tahoma"/>
            <family val="2"/>
            <charset val="186"/>
          </rPr>
          <t>ülestõusmispühade 1. püha</t>
        </r>
      </text>
    </comment>
    <comment ref="I108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K108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M109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M112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  <comment ref="N113" authorId="0">
      <text>
        <r>
          <rPr>
            <b/>
            <sz val="8"/>
            <color indexed="81"/>
            <rFont val="Tahoma"/>
            <family val="2"/>
            <charset val="186"/>
          </rPr>
          <t>kevadpüha</t>
        </r>
      </text>
    </comment>
    <comment ref="M115" authorId="0">
      <text>
        <r>
          <rPr>
            <b/>
            <sz val="8"/>
            <color indexed="81"/>
            <rFont val="Tahoma"/>
            <family val="2"/>
            <charset val="186"/>
          </rPr>
          <t>Voka, Narva mnt 2
Voka petangihall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I1" authorId="0">
      <text>
        <r>
          <rPr>
            <b/>
            <sz val="8"/>
            <color indexed="81"/>
            <rFont val="Tahoma"/>
            <family val="2"/>
            <charset val="186"/>
          </rPr>
          <t>Paarismängus saab viimane koht 2 punkti ja iga kõrgem koht 2 punkti rohkem.
Triodes saab viimane koht 3 punkti ja iga kõrgem koht 3 punkti rohkem.</t>
        </r>
      </text>
    </comment>
    <comment ref="A6" authorId="0">
      <text>
        <r>
          <rPr>
            <b/>
            <sz val="8"/>
            <color indexed="81"/>
            <rFont val="Tahoma"/>
            <family val="2"/>
            <charset val="186"/>
          </rPr>
          <t>Viru spordiklubi mängijad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C6" authorId="0">
      <text>
        <r>
          <rPr>
            <b/>
            <sz val="8"/>
            <color indexed="81"/>
            <rFont val="Tahoma"/>
            <family val="2"/>
            <charset val="186"/>
          </rPr>
          <t>Toila valla mängijad</t>
        </r>
      </text>
    </comment>
    <comment ref="G6" authorId="0">
      <text>
        <r>
          <rPr>
            <b/>
            <sz val="8"/>
            <color indexed="81"/>
            <rFont val="Tahoma"/>
            <family val="2"/>
            <charset val="186"/>
          </rPr>
          <t>Naised</t>
        </r>
      </text>
    </comment>
    <comment ref="I6" authorId="0">
      <text>
        <r>
          <rPr>
            <b/>
            <sz val="8"/>
            <color indexed="81"/>
            <rFont val="Tahoma"/>
            <family val="2"/>
            <charset val="186"/>
          </rPr>
          <t>Juuniorid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Toila valla mängijad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Q6" authorId="0">
      <text>
        <r>
          <rPr>
            <b/>
            <sz val="8"/>
            <color indexed="81"/>
            <rFont val="Tahoma"/>
            <family val="2"/>
            <charset val="186"/>
          </rPr>
          <t>Viru SK mängijad seisuga 02.02.2022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3 kehvemat tulemust võetakse maha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Q50" authorId="0">
      <text>
        <r>
          <rPr>
            <b/>
            <sz val="8"/>
            <color indexed="81"/>
            <rFont val="Tahoma"/>
            <family val="2"/>
            <charset val="186"/>
          </rPr>
          <t>Tartu - aastast 2021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I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K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Q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S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  <comment ref="F119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</commentList>
</comments>
</file>

<file path=xl/sharedStrings.xml><?xml version="1.0" encoding="utf-8"?>
<sst xmlns="http://schemas.openxmlformats.org/spreadsheetml/2006/main" count="1740" uniqueCount="386">
  <si>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</si>
  <si>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</si>
  <si>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</si>
  <si>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</si>
  <si>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</si>
  <si>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</si>
  <si>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</si>
  <si>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</si>
  <si>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</si>
  <si>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</si>
  <si>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</si>
  <si>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</si>
  <si>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</si>
  <si>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</si>
  <si>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</si>
  <si>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</si>
  <si>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</si>
  <si>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</si>
  <si>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</si>
  <si>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</si>
  <si>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</si>
  <si>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</si>
  <si>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</si>
  <si>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</si>
  <si>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</si>
  <si>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</si>
  <si>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Etappide arvule vastav täht</t>
  </si>
  <si>
    <t>Etappide arv, millel on võistleja saanud näiteks 20 punkti</t>
  </si>
  <si>
    <t>Nagu näha, saab hooajal teha kuni 31 etappi (kuid tähtede ette võib lisada ka 9 numbrit - seega max 40 etappi)</t>
  </si>
  <si>
    <t xml:space="preserve">  </t>
  </si>
  <si>
    <t>Kuupäev</t>
  </si>
  <si>
    <t>Aeg</t>
  </si>
  <si>
    <t>Võistlus</t>
  </si>
  <si>
    <t>Mänguviis</t>
  </si>
  <si>
    <t>Toimumiskoht</t>
  </si>
  <si>
    <t>Korraldaja</t>
  </si>
  <si>
    <t>Tasu</t>
  </si>
  <si>
    <t>Osal</t>
  </si>
  <si>
    <t>Duo</t>
  </si>
  <si>
    <t>Johannes Neiland</t>
  </si>
  <si>
    <t>11:00</t>
  </si>
  <si>
    <t>Ivar Viljaste</t>
  </si>
  <si>
    <t>Trio</t>
  </si>
  <si>
    <t>Ida-Virumaa sise-MV</t>
  </si>
  <si>
    <t xml:space="preserve">Eesti reitingusarja võistlused on kollase taustaga, </t>
  </si>
  <si>
    <r>
      <t xml:space="preserve">arvesse läheb 8 võistlust 13st (4 reitinguvõistlust 7st </t>
    </r>
    <r>
      <rPr>
        <sz val="10"/>
        <color rgb="FF0070C0"/>
        <rFont val="Arial"/>
        <family val="2"/>
        <charset val="186"/>
      </rPr>
      <t>(sh klubide sari)</t>
    </r>
    <r>
      <rPr>
        <sz val="10"/>
        <color theme="1"/>
        <rFont val="Arial"/>
        <family val="2"/>
        <charset val="186"/>
      </rPr>
      <t xml:space="preserve"> + 4 Eesti sise-MV-d 6st)</t>
    </r>
  </si>
  <si>
    <t>Voka karikasarja võistlused on rohelise taustaga</t>
  </si>
  <si>
    <t>Viimased muudatused on punasega</t>
  </si>
  <si>
    <t>Esmaspäev</t>
  </si>
  <si>
    <t>Teisipäev</t>
  </si>
  <si>
    <t>Kolmapäev</t>
  </si>
  <si>
    <t>Neljapäev</t>
  </si>
  <si>
    <t>Reede</t>
  </si>
  <si>
    <t>Laupäev</t>
  </si>
  <si>
    <t>Pühapäev</t>
  </si>
  <si>
    <t>DUO</t>
  </si>
  <si>
    <t>TRIO</t>
  </si>
  <si>
    <t>KOHT</t>
  </si>
  <si>
    <t>Nimi</t>
  </si>
  <si>
    <t>KOKKU</t>
  </si>
  <si>
    <t>Boriss Klubov</t>
  </si>
  <si>
    <t>Janek Tarto</t>
  </si>
  <si>
    <t>Kalle Orro</t>
  </si>
  <si>
    <t>Kenneth Muusikus</t>
  </si>
  <si>
    <t>Matti Vinni</t>
  </si>
  <si>
    <t>Peep Peenema</t>
  </si>
  <si>
    <t>Osalejaid</t>
  </si>
  <si>
    <t>Kuld</t>
  </si>
  <si>
    <t>Hõbe</t>
  </si>
  <si>
    <t>Pronks</t>
  </si>
  <si>
    <t>Punktid</t>
  </si>
  <si>
    <t>Peida halli taustaga veerud</t>
  </si>
  <si>
    <t>vasak täht on 17 punkti, järgmine 16 punkti jne</t>
  </si>
  <si>
    <t>paremus-järjestus</t>
  </si>
  <si>
    <t>nimi tähestik</t>
  </si>
  <si>
    <t>kolm paremat numbrit näitavad mitmes on nimi tähestiku järgi</t>
  </si>
  <si>
    <t>sordi selle</t>
  </si>
  <si>
    <t xml:space="preserve"> </t>
  </si>
  <si>
    <t>Osalusi</t>
  </si>
  <si>
    <t>Võite</t>
  </si>
  <si>
    <t>max 17 võistkonda</t>
  </si>
  <si>
    <t>kasutab</t>
  </si>
  <si>
    <t>järgi</t>
  </si>
  <si>
    <t>**</t>
  </si>
  <si>
    <t>edasi/</t>
  </si>
  <si>
    <t>L***</t>
  </si>
  <si>
    <t>Viru SK</t>
  </si>
  <si>
    <t>Mehed</t>
  </si>
  <si>
    <t>Naised</t>
  </si>
  <si>
    <t>Juuniorid</t>
  </si>
  <si>
    <t>Üld</t>
  </si>
  <si>
    <t>val2</t>
  </si>
  <si>
    <t>val 1&amp;2</t>
  </si>
  <si>
    <t>jä val 1&amp;2</t>
  </si>
  <si>
    <t>val3</t>
  </si>
  <si>
    <t>val 1&amp;2&amp;3</t>
  </si>
  <si>
    <t>jä val 1&amp;2&amp;3</t>
  </si>
  <si>
    <t>rank</t>
  </si>
  <si>
    <t>/koht</t>
  </si>
  <si>
    <t>Jaan Sepp</t>
  </si>
  <si>
    <t>Oskar Sepp</t>
  </si>
  <si>
    <t>m</t>
  </si>
  <si>
    <t>Elmo Lageda</t>
  </si>
  <si>
    <t>Illar Tõnurist</t>
  </si>
  <si>
    <t>n</t>
  </si>
  <si>
    <t>Jaan Saar</t>
  </si>
  <si>
    <t>Enn Tokman</t>
  </si>
  <si>
    <t>Lemmit Toomra</t>
  </si>
  <si>
    <t>Tarmo Bombe</t>
  </si>
  <si>
    <t>Oleg Rõndenkov</t>
  </si>
  <si>
    <t>Henri Mitt</t>
  </si>
  <si>
    <t>j</t>
  </si>
  <si>
    <t>Tõnu Kapper</t>
  </si>
  <si>
    <t>Urmas Jõeäär</t>
  </si>
  <si>
    <t>Andres Veski</t>
  </si>
  <si>
    <t>Ljudmila Varendi</t>
  </si>
  <si>
    <t>Viktor Švarõgin</t>
  </si>
  <si>
    <t>Svetlana Veski</t>
  </si>
  <si>
    <t>Aigi Orro</t>
  </si>
  <si>
    <t>Tõnis Neiland</t>
  </si>
  <si>
    <t>Argo Sepp</t>
  </si>
  <si>
    <t>Kaspar Mänd</t>
  </si>
  <si>
    <t>Urmas Randlaine</t>
  </si>
  <si>
    <t>Ksenija Matšneva</t>
  </si>
  <si>
    <t>Oksana Rõndenkova</t>
  </si>
  <si>
    <t>Andrei Grintšak</t>
  </si>
  <si>
    <t>Aleksander Korikov</t>
  </si>
  <si>
    <t>Aarne Välja</t>
  </si>
  <si>
    <t>Marta Bernat</t>
  </si>
  <si>
    <t>Võistkondi</t>
  </si>
  <si>
    <t>V-K</t>
  </si>
  <si>
    <t>Koht</t>
  </si>
  <si>
    <t>+/-</t>
  </si>
  <si>
    <t>1. voor</t>
  </si>
  <si>
    <t>1-5</t>
  </si>
  <si>
    <t>2-4</t>
  </si>
  <si>
    <t>2. voor</t>
  </si>
  <si>
    <t>1-3</t>
  </si>
  <si>
    <t>4-5</t>
  </si>
  <si>
    <t>3. voor</t>
  </si>
  <si>
    <t>2-5</t>
  </si>
  <si>
    <t>3-4</t>
  </si>
  <si>
    <t>4. voor</t>
  </si>
  <si>
    <t>3-5</t>
  </si>
  <si>
    <t>5. voor</t>
  </si>
  <si>
    <t>2-3</t>
  </si>
  <si>
    <t>1-4</t>
  </si>
  <si>
    <t>1. koht</t>
  </si>
  <si>
    <t>2. koht</t>
  </si>
  <si>
    <t>3. koht</t>
  </si>
  <si>
    <t>4. koht</t>
  </si>
  <si>
    <t>5. koht</t>
  </si>
  <si>
    <t>6. koht</t>
  </si>
  <si>
    <t>1-2</t>
  </si>
  <si>
    <t>1 - 8 koht</t>
  </si>
  <si>
    <t>A1</t>
  </si>
  <si>
    <t>D2</t>
  </si>
  <si>
    <t>B1</t>
  </si>
  <si>
    <t>C2</t>
  </si>
  <si>
    <t>C1</t>
  </si>
  <si>
    <t>B2</t>
  </si>
  <si>
    <t>A2</t>
  </si>
  <si>
    <t>D1</t>
  </si>
  <si>
    <t>7. koht</t>
  </si>
  <si>
    <t>8. koht</t>
  </si>
  <si>
    <t>A3</t>
  </si>
  <si>
    <t>B3</t>
  </si>
  <si>
    <t>-</t>
  </si>
  <si>
    <t>C3</t>
  </si>
  <si>
    <t>9. koht</t>
  </si>
  <si>
    <t>D3</t>
  </si>
  <si>
    <t>10. koht</t>
  </si>
  <si>
    <t>11. koht</t>
  </si>
  <si>
    <t>12. koht</t>
  </si>
  <si>
    <t>13. koht</t>
  </si>
  <si>
    <t>14. koht</t>
  </si>
  <si>
    <t>Kui mängija nimi on vigane või puudub reitingutabelist, teeb punaseks</t>
  </si>
  <si>
    <t>15. koht</t>
  </si>
  <si>
    <t>16. koht</t>
  </si>
  <si>
    <t>17. koht</t>
  </si>
  <si>
    <t>18. koht</t>
  </si>
  <si>
    <t>Hillar Neiland</t>
  </si>
  <si>
    <t>Esikolmikus</t>
  </si>
  <si>
    <t>E1</t>
  </si>
  <si>
    <t>F2</t>
  </si>
  <si>
    <t>F1</t>
  </si>
  <si>
    <t>E2</t>
  </si>
  <si>
    <t>E3</t>
  </si>
  <si>
    <t>F3</t>
  </si>
  <si>
    <t>Oktoober 2019</t>
  </si>
  <si>
    <t>Punkte</t>
  </si>
  <si>
    <t>enne 1 koma</t>
  </si>
  <si>
    <t>pärast 1 koma</t>
  </si>
  <si>
    <t>1 ja 2 koma vahel</t>
  </si>
  <si>
    <t>pärast 2 koma</t>
  </si>
  <si>
    <t>Võit</t>
  </si>
  <si>
    <t>punkti</t>
  </si>
  <si>
    <t>Viik</t>
  </si>
  <si>
    <t>Kaotus</t>
  </si>
  <si>
    <t>Vo</t>
  </si>
  <si>
    <t>V2</t>
  </si>
  <si>
    <t>+/- o</t>
  </si>
  <si>
    <t>V3</t>
  </si>
  <si>
    <t>suhe</t>
  </si>
  <si>
    <t>...,V3.+/-</t>
  </si>
  <si>
    <t>V,Vo</t>
  </si>
  <si>
    <t>V.Vo.V2.+/-</t>
  </si>
  <si>
    <t>Liidia Põllu</t>
  </si>
  <si>
    <t>B4</t>
  </si>
  <si>
    <t>Jaan Sepp, Oskar Sepp</t>
  </si>
  <si>
    <t>Andres Veski, Svetlana Veski</t>
  </si>
  <si>
    <t>kehvemat tulemust võetakse maha - mahatõmbamise format kasutab seda</t>
  </si>
  <si>
    <t>etapist osavõtt on vajalik finaalturniirile pääsemiseks</t>
  </si>
  <si>
    <t>Toila vald</t>
  </si>
  <si>
    <t>Ljudmila Varendi, Viktor Švarõgin</t>
  </si>
  <si>
    <t>9 - 12 koht</t>
  </si>
  <si>
    <t>13 - 18 koht</t>
  </si>
  <si>
    <t>TUL</t>
  </si>
  <si>
    <t>TRIO, DUO, ÜKSIK</t>
  </si>
  <si>
    <t>Rahvusvahelised ja katsevõistlused on sinisega ja kaldkirjas</t>
  </si>
  <si>
    <t>Buch</t>
  </si>
  <si>
    <t>Suhe</t>
  </si>
  <si>
    <t>:</t>
  </si>
  <si>
    <t>Aurelia Meldre</t>
  </si>
  <si>
    <t>Kokku</t>
  </si>
  <si>
    <t>kõik</t>
  </si>
  <si>
    <t>Olav Türk</t>
  </si>
  <si>
    <t>Oksana Rõndenkova, Oleg Rõndenkov</t>
  </si>
  <si>
    <t>Sander Rose</t>
  </si>
  <si>
    <t>2 ja 3 koma vahel</t>
  </si>
  <si>
    <t>pärast 3 koma</t>
  </si>
  <si>
    <t>Kõik mängud algasid seisult 1:1</t>
  </si>
  <si>
    <t>5 - 12 koht</t>
  </si>
  <si>
    <t>t</t>
  </si>
  <si>
    <t>Henri Mitt, Urmas Randlaine</t>
  </si>
  <si>
    <t>Sirje Maala</t>
  </si>
  <si>
    <t>Oliver Ojasalu, Tõnis Neiland</t>
  </si>
  <si>
    <t>Oliver Ojasalu</t>
  </si>
  <si>
    <t>DUO/TRIO</t>
  </si>
  <si>
    <t>loositurniir</t>
  </si>
  <si>
    <t>Loosiduo</t>
  </si>
  <si>
    <t>Igamehe/naise turniir</t>
  </si>
  <si>
    <t>EESTI JA IDA-VIRUMAA PETANGIKALENDER 2021-2022 (SISE)</t>
  </si>
  <si>
    <t>November 2021</t>
  </si>
  <si>
    <t>Detsember 2021</t>
  </si>
  <si>
    <t>IDA-VIRUMAA PETANGIKALENDER 2021-2022 (SISE)</t>
  </si>
  <si>
    <t>Jaanuar 2022</t>
  </si>
  <si>
    <t>Veebruar 2022</t>
  </si>
  <si>
    <t>L, 13.11.2021</t>
  </si>
  <si>
    <t>L, 20.11.2021</t>
  </si>
  <si>
    <t>L, 27.11.2021</t>
  </si>
  <si>
    <t>Voka IV sise-KV 1. etapp</t>
  </si>
  <si>
    <t>Voka IV sise-KV 2. etapp</t>
  </si>
  <si>
    <t>"Jõuluhane" loositurniir</t>
  </si>
  <si>
    <t>P, 09.01.2022</t>
  </si>
  <si>
    <t>Voka IV sise-KV 3. etapp</t>
  </si>
  <si>
    <t>P, 16.01.2022</t>
  </si>
  <si>
    <t>P, 30.01.2022</t>
  </si>
  <si>
    <t>Voka IV sise-KV 4. etapp</t>
  </si>
  <si>
    <t>Jaan Saar, Urmas Randlaine</t>
  </si>
  <si>
    <t>Enn Tokman, Kenneth Muusikus</t>
  </si>
  <si>
    <t>Lemmit Toomra, Tõnu Kapper</t>
  </si>
  <si>
    <t>Kaspar Mänd, Sander Rose</t>
  </si>
  <si>
    <t>Andrei Grintšak, Elmo Lageda</t>
  </si>
  <si>
    <t>Henri Mitt, Oksana Rõndenkova, Oleg Rõndenkov</t>
  </si>
  <si>
    <t>Andres Veski, Jaan Saar, Svetlana Veski</t>
  </si>
  <si>
    <t>Enn Tokman, Kenneth Muusikus, Urmas Randlaine</t>
  </si>
  <si>
    <t>Jaan Sepp, Oskar Sepp, Sander Rose</t>
  </si>
  <si>
    <t>Illar Tõnurist, Olav Türk, Sirje Maala</t>
  </si>
  <si>
    <t>Argo Sepp, Ljudmila Varendi, Viktor Švarõgin</t>
  </si>
  <si>
    <t>Kaspar Mänd, Sirje Maala</t>
  </si>
  <si>
    <t>Aleksander Korikov, Jevgeni Korikov</t>
  </si>
  <si>
    <t>Illar Tõnurist, Tarmo Bombe</t>
  </si>
  <si>
    <t>Airi Veski, Andres Veski</t>
  </si>
  <si>
    <t>Illar Tõnurist, Jaan Saar, Sander Rose</t>
  </si>
  <si>
    <t>Olav Türk, Sirje Maala, Tarmo Bombe</t>
  </si>
  <si>
    <t>Airi Veski, Andres Veski, Svetlana Veski</t>
  </si>
  <si>
    <t>Hillar Neiland, Jaan Saar</t>
  </si>
  <si>
    <t>Annaliset Neiland, Hillar Neiland, Kaspar Mänd</t>
  </si>
  <si>
    <t>Annaliset Neiland, Hillar Neiland</t>
  </si>
  <si>
    <t>Annaliset Neiland</t>
  </si>
  <si>
    <t>Airi Veski</t>
  </si>
  <si>
    <t>Jevgeni Korikov</t>
  </si>
  <si>
    <t>Elmo Lageda, Lemmit Toomra, Tõnu Kapper</t>
  </si>
  <si>
    <t>Johannes Neiland, Tõnis Neiland</t>
  </si>
  <si>
    <t>Kaspar Mänd, Matti Vinni</t>
  </si>
  <si>
    <t>Henri Mitt, Illar Tõnurist</t>
  </si>
  <si>
    <t>Aarne Välja, Janek Tarto</t>
  </si>
  <si>
    <t>Elmo Lageda, Sirje Maala</t>
  </si>
  <si>
    <t>Jaan Saar, Sander Rose</t>
  </si>
  <si>
    <t>Hooaja lõpetamine</t>
  </si>
  <si>
    <t>TRIO naised</t>
  </si>
  <si>
    <t>TRIO mehed - 1. etapp ja PF</t>
  </si>
  <si>
    <t>TRIO mehed - finaal</t>
  </si>
  <si>
    <t xml:space="preserve">TRIO juunioride ja U23 </t>
  </si>
  <si>
    <t>***</t>
  </si>
  <si>
    <t xml:space="preserve">Arvesse läheb 9 paremat tulemust 10st. </t>
  </si>
  <si>
    <t>Voka IV sise-KV 5. etapp</t>
  </si>
  <si>
    <t>Voka IV sise-KV 6. etapp</t>
  </si>
  <si>
    <t>Märts 2022</t>
  </si>
  <si>
    <t>Voka IV sise-KV 7. etapp</t>
  </si>
  <si>
    <t>Aprill 2022</t>
  </si>
  <si>
    <t>Arvesse 9 paremat tulemust 10st.</t>
  </si>
  <si>
    <t>Arvesse läheb 9 paremat tulemust 10st.</t>
  </si>
  <si>
    <t>Ü, D, SEGADUO</t>
  </si>
  <si>
    <t>P, 06.02.2022</t>
  </si>
  <si>
    <t>Eesti reitingus 2022 lähevad arvesse Eesti MV-d, millest võetakse maha 1 kehvem tulemus</t>
  </si>
  <si>
    <t>Eesti reitingusarja võistlused on rasvases trükis</t>
  </si>
  <si>
    <t>SHK</t>
  </si>
  <si>
    <t>Tartu</t>
  </si>
  <si>
    <t>VOKA 4. SISEKARIKAVÕISTLUSED 2021-2022 (SISE)</t>
  </si>
  <si>
    <t>Kaspar Mänd, Olav Türk</t>
  </si>
  <si>
    <t>Ivar Viljaste, Janek Tarto</t>
  </si>
  <si>
    <t>Elmo Lageda, Urmas Randlaine</t>
  </si>
  <si>
    <t>Aurelia Meldre, Ksenija Matšneva</t>
  </si>
  <si>
    <t>Eesti Wabariik 104</t>
  </si>
  <si>
    <t>P, 20.02.2022</t>
  </si>
  <si>
    <t>L, 19.02.2022</t>
  </si>
  <si>
    <t>17:00</t>
  </si>
  <si>
    <t>Loositurniir</t>
  </si>
  <si>
    <t>Loositurniir (17:00)</t>
  </si>
  <si>
    <t>SEGATRIO</t>
  </si>
  <si>
    <t>Loosi (17:00)</t>
  </si>
  <si>
    <t>Eesti 104</t>
  </si>
  <si>
    <t xml:space="preserve"> I-Virumaa lahtised sise-MV</t>
  </si>
  <si>
    <t>P, 06.03.2022</t>
  </si>
  <si>
    <t>Segatrio</t>
  </si>
  <si>
    <t>N, 24.02.2022</t>
  </si>
  <si>
    <t>Eesti 104 loositurniir</t>
  </si>
  <si>
    <t>P, 13.03.2022</t>
  </si>
  <si>
    <t>Henri Mitt, Tõnis Neiland</t>
  </si>
  <si>
    <t>Olav Türk, Urmas Jõeäär</t>
  </si>
  <si>
    <t>Marta Bernat, Peep Peenema</t>
  </si>
  <si>
    <t>Oliver Ojasalu, Sirje Maala</t>
  </si>
  <si>
    <t>Aarne Välja, Ivar Viljaste</t>
  </si>
  <si>
    <t>Airi Veski, Svetlana Veski</t>
  </si>
  <si>
    <t>Aleksander Korikov, Oleg Rõndenkov</t>
  </si>
  <si>
    <t>P, 27.03.2022</t>
  </si>
  <si>
    <t>Voka IV sise-KV 8. etapp
Toila valla lahtised sise-MV</t>
  </si>
  <si>
    <t>1 - 6 koht</t>
  </si>
  <si>
    <t>Olav Türk, Sirje Maala, Urmas Jõeäär</t>
  </si>
  <si>
    <t>Enn Tokman, Kenneth Muusikus, Peep Peenema</t>
  </si>
  <si>
    <t>Jaan Saar, Marta Bernat, Viktor Švarõgin</t>
  </si>
  <si>
    <t>Andrei Grintšak, Janek Tarto, Sander Rose</t>
  </si>
  <si>
    <t>Illar Tõnurist, Johannes Neiland, Urmas Randlaine</t>
  </si>
  <si>
    <t>P, 03.04.2022</t>
  </si>
  <si>
    <t>P, 17.04.2022</t>
  </si>
  <si>
    <t>Voka IV sise-KV 9. etapp
Toila valla lahtised sise-MV</t>
  </si>
  <si>
    <t>Henri Mitt, Hillar Neiland, Tõnis Neiland</t>
  </si>
  <si>
    <t>Kaspar Mänd, Matti Vinni, Olav Türk</t>
  </si>
  <si>
    <t>Andrei Grintšak, Johannes Neiland, Urmas Randlaine</t>
  </si>
  <si>
    <t>Enn Tokman, Kenneth Muusikus, Sander Rose</t>
  </si>
  <si>
    <t>Aarne Välja, Jaan Sepp, Oskar Sepp</t>
  </si>
  <si>
    <t>Oksana Rõndenkova, Oleg Rõndenkov, Aleksander Korikov</t>
  </si>
  <si>
    <t>Airi Veski, Sirje Maala, Svetlana Veski</t>
  </si>
  <si>
    <t>Lemmit Toomra, Liidia Põllu, Tõnu Kapper</t>
  </si>
  <si>
    <t>Jaan Saar, Ljudmila Varendi, Viktor Švarõgin</t>
  </si>
  <si>
    <t>vaba voor</t>
  </si>
  <si>
    <t>Fine B</t>
  </si>
  <si>
    <t>Olav Türk, Sander Rose</t>
  </si>
  <si>
    <t>Jaan Saar, Sirje Maala</t>
  </si>
  <si>
    <t>Annaliset Neiland, Oliver Ojasalu</t>
  </si>
  <si>
    <t>Aigi Orro, Kalle Orro</t>
  </si>
  <si>
    <t>Andrei Grintšak, Hillar Neiland</t>
  </si>
  <si>
    <t>Voka IV sise-KV autasustamine</t>
  </si>
  <si>
    <t>LOOSIDUO</t>
  </si>
  <si>
    <t>Seisuga 21.04.2022</t>
  </si>
  <si>
    <t>Mai 2022</t>
  </si>
  <si>
    <t>P, 24.04.2022</t>
  </si>
  <si>
    <t>Voka IV sise-KV 10. etapp</t>
  </si>
  <si>
    <t>P, 01.05.2022</t>
  </si>
  <si>
    <t>Voka IV sise-KV autasustamine, 
loosiduo</t>
  </si>
  <si>
    <t>Annaliset Neiland, Henri Mitt, Oliver Ojasalu</t>
  </si>
  <si>
    <t>Jaan Saar, Olav Türk, Sirje Maala</t>
  </si>
  <si>
    <t>Boriss Klubov, Elmo Lageda, Liidia Põllu</t>
  </si>
  <si>
    <t>Jaan Sepp, Kaspar Mänd, Oskar Sepp</t>
  </si>
  <si>
    <t>Aleksander Korikov, Oksana Rõndenkova, Oleg Rõndenkov</t>
  </si>
  <si>
    <t>1 - 4 koht</t>
  </si>
  <si>
    <t>5 - 7 koht</t>
  </si>
  <si>
    <t>0-2</t>
  </si>
  <si>
    <t>2-0</t>
  </si>
  <si>
    <t>1-1</t>
  </si>
  <si>
    <t>L, 04.12.2021</t>
  </si>
  <si>
    <t>P, 12.12.2021</t>
  </si>
  <si>
    <t>P, 19.12.2021</t>
  </si>
  <si>
    <t>R, 24.12.2021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</si>
</sst>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d&quot;, &quot;dd/mm/yyyy"/>
    <numFmt numFmtId="165" formatCode="#&quot; €&quot;"/>
    <numFmt numFmtId="166" formatCode="#,##0\ &quot;€&quot;"/>
    <numFmt numFmtId="167" formatCode="0;\-0;;@"/>
    <numFmt numFmtId="168" formatCode="##&quot;.&quot;"/>
    <numFmt numFmtId="169" formatCode="\+0;\-0;0"/>
    <numFmt numFmtId="170" formatCode="0.0000"/>
  </numFmts>
  <fonts count="70" x14ac:knownFonts="1"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color indexed="8"/>
      <name val="Arial Narrow"/>
      <family val="2"/>
      <charset val="186"/>
    </font>
    <font>
      <u/>
      <sz val="10"/>
      <color theme="10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0"/>
      <name val="Arial"/>
      <family val="2"/>
      <charset val="186"/>
    </font>
    <font>
      <b/>
      <sz val="10"/>
      <color rgb="FF0070C0"/>
      <name val="Arial"/>
      <family val="2"/>
      <charset val="186"/>
    </font>
    <font>
      <b/>
      <sz val="10"/>
      <name val="Arial"/>
      <family val="2"/>
      <charset val="186"/>
    </font>
    <font>
      <sz val="10"/>
      <color indexed="8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10"/>
      <color indexed="8"/>
      <name val="Arial"/>
      <family val="2"/>
      <charset val="186"/>
    </font>
    <font>
      <u/>
      <sz val="10"/>
      <color theme="1"/>
      <name val="Arial"/>
      <family val="2"/>
      <charset val="186"/>
    </font>
    <font>
      <sz val="10"/>
      <color rgb="FF0000FF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8"/>
      <color indexed="81"/>
      <name val="Tahoma"/>
      <family val="2"/>
      <charset val="186"/>
    </font>
    <font>
      <i/>
      <u/>
      <sz val="10"/>
      <color theme="8" tint="0.39997558519241921"/>
      <name val="Arial"/>
      <family val="2"/>
      <charset val="186"/>
    </font>
    <font>
      <i/>
      <sz val="10"/>
      <color theme="8" tint="0.39997558519241921"/>
      <name val="Arial"/>
      <family val="2"/>
      <charset val="186"/>
    </font>
    <font>
      <b/>
      <u/>
      <sz val="10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b/>
      <sz val="10"/>
      <color theme="1"/>
      <name val="Calibri"/>
      <family val="2"/>
      <charset val="186"/>
      <scheme val="minor"/>
    </font>
    <font>
      <sz val="10"/>
      <color rgb="FFCC0000"/>
      <name val="Arial"/>
      <family val="2"/>
      <charset val="186"/>
    </font>
    <font>
      <sz val="10"/>
      <color rgb="FF00B0F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0"/>
      <color theme="0" tint="-0.34998626667073579"/>
      <name val="Arial"/>
      <family val="2"/>
      <charset val="186"/>
    </font>
    <font>
      <b/>
      <sz val="8"/>
      <color rgb="FF0070C0"/>
      <name val="Arial"/>
      <family val="2"/>
      <charset val="186"/>
    </font>
    <font>
      <sz val="10"/>
      <color theme="0" tint="-0.34998626667073579"/>
      <name val="Arial"/>
      <family val="2"/>
      <charset val="186"/>
    </font>
    <font>
      <b/>
      <sz val="10"/>
      <color rgb="FF00B0F0"/>
      <name val="Arial"/>
      <family val="2"/>
      <charset val="186"/>
    </font>
    <font>
      <b/>
      <sz val="10"/>
      <color rgb="FFCC0066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sz val="10"/>
      <color theme="2" tint="-0.499984740745262"/>
      <name val="Arial"/>
      <family val="2"/>
      <charset val="186"/>
    </font>
    <font>
      <b/>
      <sz val="10"/>
      <color theme="0" tint="-0.249977111117893"/>
      <name val="Arial"/>
      <family val="2"/>
      <charset val="186"/>
    </font>
    <font>
      <sz val="10"/>
      <color theme="0" tint="-0.14999847407452621"/>
      <name val="Arial"/>
      <family val="2"/>
      <charset val="186"/>
    </font>
    <font>
      <b/>
      <sz val="10"/>
      <color theme="0" tint="-0.14999847407452621"/>
      <name val="Arial"/>
      <family val="2"/>
      <charset val="186"/>
    </font>
    <font>
      <sz val="8"/>
      <color indexed="81"/>
      <name val="Tahoma"/>
      <family val="2"/>
      <charset val="186"/>
    </font>
    <font>
      <sz val="10"/>
      <color theme="0" tint="-0.249977111117893"/>
      <name val="Arial"/>
      <family val="2"/>
      <charset val="186"/>
    </font>
    <font>
      <b/>
      <sz val="10"/>
      <color rgb="FFCC0000"/>
      <name val="Calibri"/>
      <family val="2"/>
      <charset val="186"/>
      <scheme val="minor"/>
    </font>
    <font>
      <b/>
      <sz val="8"/>
      <color theme="2" tint="-0.499984740745262"/>
      <name val="Arial"/>
      <family val="2"/>
      <charset val="186"/>
    </font>
    <font>
      <sz val="10"/>
      <color rgb="FF00B050"/>
      <name val="Arial"/>
      <family val="2"/>
      <charset val="186"/>
    </font>
    <font>
      <i/>
      <sz val="10"/>
      <color theme="0" tint="-0.499984740745262"/>
      <name val="Arial"/>
      <family val="2"/>
      <charset val="186"/>
    </font>
    <font>
      <sz val="10"/>
      <color theme="2" tint="-0.499984740745262"/>
      <name val="Arial"/>
      <family val="2"/>
      <charset val="186"/>
    </font>
    <font>
      <sz val="9"/>
      <color rgb="FF0070C0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rgb="FF00B050"/>
      <name val="Arial"/>
      <family val="2"/>
      <charset val="186"/>
    </font>
    <font>
      <sz val="9"/>
      <color theme="5" tint="-0.249977111117893"/>
      <name val="Arial"/>
      <family val="2"/>
      <charset val="186"/>
    </font>
    <font>
      <b/>
      <u/>
      <sz val="10"/>
      <name val="Arial"/>
      <family val="2"/>
      <charset val="186"/>
    </font>
    <font>
      <u/>
      <sz val="10"/>
      <name val="Arial"/>
      <family val="2"/>
      <charset val="186"/>
    </font>
    <font>
      <i/>
      <u/>
      <sz val="10"/>
      <name val="Arial"/>
      <family val="2"/>
      <charset val="186"/>
    </font>
    <font>
      <strike/>
      <sz val="10"/>
      <name val="Arial"/>
      <family val="2"/>
      <charset val="186"/>
    </font>
    <font>
      <i/>
      <strike/>
      <u/>
      <sz val="10"/>
      <name val="Arial"/>
      <family val="2"/>
      <charset val="186"/>
    </font>
    <font>
      <u/>
      <sz val="10"/>
      <color theme="0" tint="-0.499984740745262"/>
      <name val="Arial"/>
      <family val="2"/>
      <charset val="186"/>
    </font>
    <font>
      <sz val="10"/>
      <color theme="0" tint="-0.499984740745262"/>
      <name val="Arial"/>
      <family val="2"/>
      <charset val="186"/>
    </font>
    <font>
      <u/>
      <sz val="12"/>
      <color rgb="FF0070C0"/>
      <name val="Old English Text MT"/>
      <family val="4"/>
    </font>
    <font>
      <sz val="10"/>
      <color rgb="FF0070C0"/>
      <name val="Old English Text MT"/>
      <family val="4"/>
    </font>
    <font>
      <sz val="10"/>
      <color theme="10"/>
      <name val="Arial"/>
      <family val="2"/>
      <charset val="186"/>
    </font>
    <font>
      <b/>
      <sz val="10"/>
      <color theme="0" tint="-0.499984740745262"/>
      <name val="Arial"/>
      <family val="2"/>
      <charset val="186"/>
    </font>
    <font>
      <u/>
      <sz val="10"/>
      <color theme="8" tint="0.39997558519241921"/>
      <name val="Arial"/>
      <family val="2"/>
      <charset val="186"/>
    </font>
    <font>
      <sz val="10"/>
      <color theme="8" tint="0.39997558519241921"/>
      <name val="Arial"/>
      <family val="2"/>
      <charset val="186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medium">
        <color indexed="8"/>
      </left>
      <right/>
      <top style="medium">
        <color auto="1"/>
      </top>
      <bottom/>
      <diagonal/>
    </border>
    <border>
      <left style="thin">
        <color theme="0" tint="-0.24994659260841701"/>
      </left>
      <right style="medium">
        <color indexed="8"/>
      </right>
      <top style="medium">
        <color auto="1"/>
      </top>
      <bottom style="thin">
        <color theme="0" tint="-0.24994659260841701"/>
      </bottom>
      <diagonal/>
    </border>
    <border>
      <left style="medium">
        <color theme="1"/>
      </left>
      <right/>
      <top style="medium">
        <color auto="1"/>
      </top>
      <bottom/>
      <diagonal/>
    </border>
    <border>
      <left style="medium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theme="0" tint="-0.24994659260841701"/>
      </left>
      <right style="medium">
        <color indexed="8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theme="0" tint="-0.24994659260841701"/>
      </left>
      <right style="medium">
        <color indexed="8"/>
      </right>
      <top style="medium">
        <color indexed="8"/>
      </top>
      <bottom style="thin">
        <color theme="0" tint="-0.2499465926084170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dashDot">
        <color indexed="8"/>
      </bottom>
      <diagonal/>
    </border>
    <border>
      <left style="thin">
        <color theme="0" tint="-0.24994659260841701"/>
      </left>
      <right/>
      <top style="medium">
        <color indexed="8"/>
      </top>
      <bottom style="thin">
        <color theme="0" tint="-0.24994659260841701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n">
        <color theme="0" tint="-0.24994659260841701"/>
      </left>
      <right style="medium">
        <color indexed="8"/>
      </right>
      <top style="thick">
        <color indexed="8"/>
      </top>
      <bottom style="thin">
        <color theme="0" tint="-0.24994659260841701"/>
      </bottom>
      <diagonal/>
    </border>
    <border>
      <left/>
      <right/>
      <top style="thick">
        <color indexed="8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/>
      <bottom style="dashDot">
        <color indexed="8"/>
      </bottom>
      <diagonal/>
    </border>
    <border>
      <left style="thin">
        <color theme="0" tint="-0.24994659260841701"/>
      </left>
      <right style="thick">
        <color indexed="8"/>
      </right>
      <top style="medium">
        <color indexed="8"/>
      </top>
      <bottom style="thin">
        <color theme="0" tint="-0.24994659260841701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medium">
        <color auto="1"/>
      </right>
      <top style="medium">
        <color indexed="8"/>
      </top>
      <bottom style="thin">
        <color theme="0" tint="-0.2499465926084170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auto="1"/>
      </top>
      <bottom/>
      <diagonal/>
    </border>
    <border>
      <left style="thick">
        <color indexed="64"/>
      </left>
      <right/>
      <top/>
      <bottom/>
      <diagonal/>
    </border>
    <border>
      <left style="thin">
        <color theme="0" tint="-0.24994659260841701"/>
      </left>
      <right style="medium">
        <color indexed="8"/>
      </right>
      <top style="medium">
        <color indexed="8"/>
      </top>
      <bottom style="thin">
        <color theme="0" tint="-0.2499465926084170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theme="0" tint="-0.24994659260841701"/>
      </left>
      <right/>
      <top style="medium">
        <color rgb="FF00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rgb="FF000000"/>
      </right>
      <top style="medium">
        <color rgb="FF00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rgb="FF000000"/>
      </top>
      <bottom style="thin">
        <color theme="0" tint="-0.2499465926084170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auto="1"/>
      </top>
      <bottom style="thin">
        <color theme="0" tint="-0.2499465926084170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dashDot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dashDot">
        <color indexed="8"/>
      </top>
      <bottom/>
      <diagonal/>
    </border>
    <border>
      <left/>
      <right style="medium">
        <color indexed="8"/>
      </right>
      <top style="dashDot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 style="dashDot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8"/>
      </right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0" tint="-0.24994659260841701"/>
      </left>
      <right style="thick">
        <color indexed="64"/>
      </right>
      <top style="medium">
        <color auto="1"/>
      </top>
      <bottom style="thin">
        <color theme="0" tint="-0.24994659260841701"/>
      </bottom>
      <diagonal/>
    </border>
    <border>
      <left style="medium">
        <color indexed="8"/>
      </left>
      <right style="thin">
        <color theme="0" tint="-0.24994659260841701"/>
      </right>
      <top style="medium">
        <color auto="1"/>
      </top>
      <bottom/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8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 style="thin">
        <color theme="0" tint="-0.24994659260841701"/>
      </left>
      <right style="medium">
        <color indexed="8"/>
      </right>
      <top style="medium">
        <color indexed="8"/>
      </top>
      <bottom style="thin">
        <color theme="0" tint="-0.2499465926084170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theme="0" tint="-0.24994659260841701"/>
      </left>
      <right style="medium">
        <color auto="1"/>
      </right>
      <top style="medium">
        <color indexed="8"/>
      </top>
      <bottom style="thin">
        <color theme="0" tint="-0.2499465926084170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rgb="FF000000"/>
      </right>
      <top style="medium">
        <color auto="1"/>
      </top>
      <bottom style="thin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0" tint="-0.24994659260841701"/>
      </left>
      <right style="medium">
        <color indexed="8"/>
      </right>
      <top style="medium">
        <color auto="1"/>
      </top>
      <bottom style="thin">
        <color theme="0" tint="-0.24994659260841701"/>
      </bottom>
      <diagonal/>
    </border>
    <border>
      <left style="medium">
        <color indexed="8"/>
      </left>
      <right/>
      <top style="medium">
        <color auto="1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theme="1"/>
      </left>
      <right/>
      <top/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theme="0" tint="-0.24994659260841701"/>
      </left>
      <right style="medium">
        <color indexed="8"/>
      </right>
      <top style="medium">
        <color indexed="8"/>
      </top>
      <bottom style="thin">
        <color theme="0" tint="-0.24994659260841701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thin">
        <color theme="0" tint="-0.24994659260841701"/>
      </left>
      <right/>
      <top style="medium">
        <color indexed="8"/>
      </top>
      <bottom style="thin">
        <color theme="0" tint="-0.24994659260841701"/>
      </bottom>
      <diagonal/>
    </border>
    <border>
      <left style="medium">
        <color theme="1"/>
      </left>
      <right/>
      <top/>
      <bottom style="medium">
        <color indexed="8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8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8"/>
      </right>
      <top style="medium">
        <color indexed="8"/>
      </top>
      <bottom style="thin">
        <color theme="0" tint="-0.24994659260841701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medium">
        <color rgb="FF000000"/>
      </left>
      <right style="thin">
        <color theme="0" tint="-0.24994659260841701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theme="0" tint="-0.24994659260841701"/>
      </bottom>
      <diagonal/>
    </border>
    <border>
      <left style="medium">
        <color rgb="FF000000"/>
      </left>
      <right/>
      <top style="medium">
        <color indexed="8"/>
      </top>
      <bottom/>
      <diagonal/>
    </border>
    <border>
      <left style="thin">
        <color theme="0" tint="-0.24994659260841701"/>
      </left>
      <right style="medium">
        <color rgb="FF000000"/>
      </right>
      <top style="medium">
        <color indexed="8"/>
      </top>
      <bottom style="thin">
        <color theme="0" tint="-0.24994659260841701"/>
      </bottom>
      <diagonal/>
    </border>
    <border>
      <left style="medium">
        <color rgb="FF000000"/>
      </left>
      <right style="thin">
        <color theme="0" tint="-0.24994659260841701"/>
      </right>
      <top style="medium">
        <color indexed="8"/>
      </top>
      <bottom/>
      <diagonal/>
    </border>
    <border>
      <left/>
      <right style="medium">
        <color indexed="8"/>
      </right>
      <top style="dashDot">
        <color rgb="FF000000"/>
      </top>
      <bottom/>
      <diagonal/>
    </border>
    <border>
      <left style="medium">
        <color auto="1"/>
      </left>
      <right/>
      <top style="medium">
        <color indexed="8"/>
      </top>
      <bottom/>
      <diagonal/>
    </border>
    <border>
      <left style="thick">
        <color indexed="8"/>
      </left>
      <right/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medium">
        <color indexed="8"/>
      </left>
      <right/>
      <top/>
      <bottom style="medium">
        <color auto="1"/>
      </bottom>
      <diagonal/>
    </border>
    <border>
      <left/>
      <right/>
      <top/>
      <bottom style="dashDot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theme="0" tint="-0.24994659260841701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theme="1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/>
      <right/>
      <top/>
      <bottom style="thick">
        <color theme="0" tint="-0.499984740745262"/>
      </bottom>
      <diagonal/>
    </border>
  </borders>
  <cellStyleXfs count="36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10" fillId="0" borderId="0"/>
    <xf numFmtId="0" fontId="3" fillId="0" borderId="0"/>
    <xf numFmtId="0" fontId="5" fillId="0" borderId="0"/>
    <xf numFmtId="0" fontId="3" fillId="0" borderId="0"/>
    <xf numFmtId="0" fontId="11" fillId="0" borderId="0"/>
    <xf numFmtId="0" fontId="2" fillId="0" borderId="0"/>
    <xf numFmtId="0" fontId="4" fillId="0" borderId="0"/>
    <xf numFmtId="0" fontId="1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4" fillId="0" borderId="0"/>
    <xf numFmtId="0" fontId="11" fillId="0" borderId="0"/>
    <xf numFmtId="0" fontId="1" fillId="0" borderId="0"/>
    <xf numFmtId="49" fontId="6" fillId="2" borderId="0" applyBorder="0" applyProtection="0">
      <alignment horizontal="left" vertical="top" wrapText="1"/>
    </xf>
    <xf numFmtId="0" fontId="3" fillId="0" borderId="0"/>
    <xf numFmtId="0" fontId="20" fillId="0" borderId="0" applyNumberFormat="0" applyFill="0" applyBorder="0" applyAlignment="0" applyProtection="0"/>
    <xf numFmtId="0" fontId="11" fillId="0" borderId="0"/>
    <xf numFmtId="0" fontId="11" fillId="0" borderId="0"/>
  </cellStyleXfs>
  <cellXfs count="977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3" borderId="0" xfId="0" applyFill="1"/>
    <xf numFmtId="164" fontId="17" fillId="0" borderId="0" xfId="5" applyNumberFormat="1" applyFont="1" applyFill="1" applyBorder="1" applyAlignment="1">
      <alignment horizontal="left"/>
    </xf>
    <xf numFmtId="20" fontId="18" fillId="0" borderId="0" xfId="5" applyNumberFormat="1" applyFont="1" applyFill="1" applyBorder="1" applyAlignment="1">
      <alignment horizontal="left"/>
    </xf>
    <xf numFmtId="0" fontId="19" fillId="0" borderId="0" xfId="21" applyFont="1" applyFill="1"/>
    <xf numFmtId="0" fontId="19" fillId="0" borderId="0" xfId="21" applyFont="1" applyFill="1" applyAlignment="1">
      <alignment horizontal="center"/>
    </xf>
    <xf numFmtId="0" fontId="19" fillId="0" borderId="0" xfId="21" applyFont="1" applyAlignment="1"/>
    <xf numFmtId="0" fontId="20" fillId="0" borderId="0" xfId="33" applyFill="1" applyAlignment="1">
      <alignment vertical="top"/>
    </xf>
    <xf numFmtId="165" fontId="19" fillId="0" borderId="0" xfId="21" applyNumberFormat="1" applyFont="1" applyAlignment="1">
      <alignment horizontal="right"/>
    </xf>
    <xf numFmtId="0" fontId="19" fillId="0" borderId="0" xfId="21" applyFont="1"/>
    <xf numFmtId="164" fontId="21" fillId="0" borderId="0" xfId="21" applyNumberFormat="1" applyFont="1" applyFill="1" applyAlignment="1">
      <alignment horizontal="left"/>
    </xf>
    <xf numFmtId="20" fontId="21" fillId="0" borderId="0" xfId="21" applyNumberFormat="1" applyFont="1" applyFill="1" applyAlignment="1">
      <alignment horizontal="left"/>
    </xf>
    <xf numFmtId="0" fontId="19" fillId="0" borderId="0" xfId="21" applyFont="1" applyFill="1" applyAlignment="1"/>
    <xf numFmtId="165" fontId="19" fillId="0" borderId="0" xfId="21" applyNumberFormat="1" applyFont="1" applyFill="1" applyAlignment="1">
      <alignment horizontal="right"/>
    </xf>
    <xf numFmtId="164" fontId="15" fillId="4" borderId="1" xfId="21" applyNumberFormat="1" applyFont="1" applyFill="1" applyBorder="1" applyAlignment="1">
      <alignment horizontal="left" wrapText="1"/>
    </xf>
    <xf numFmtId="20" fontId="15" fillId="4" borderId="1" xfId="21" applyNumberFormat="1" applyFont="1" applyFill="1" applyBorder="1" applyAlignment="1">
      <alignment horizontal="left"/>
    </xf>
    <xf numFmtId="0" fontId="15" fillId="4" borderId="1" xfId="21" applyFont="1" applyFill="1" applyBorder="1"/>
    <xf numFmtId="0" fontId="15" fillId="4" borderId="1" xfId="21" applyFont="1" applyFill="1" applyBorder="1" applyAlignment="1">
      <alignment horizontal="left"/>
    </xf>
    <xf numFmtId="0" fontId="21" fillId="4" borderId="1" xfId="21" applyFont="1" applyFill="1" applyBorder="1" applyAlignment="1"/>
    <xf numFmtId="0" fontId="15" fillId="4" borderId="1" xfId="21" applyFont="1" applyFill="1" applyBorder="1" applyAlignment="1"/>
    <xf numFmtId="165" fontId="15" fillId="4" borderId="1" xfId="21" applyNumberFormat="1" applyFont="1" applyFill="1" applyBorder="1" applyAlignment="1"/>
    <xf numFmtId="0" fontId="19" fillId="0" borderId="0" xfId="21" applyFont="1" applyFill="1" applyAlignment="1">
      <alignment vertical="center"/>
    </xf>
    <xf numFmtId="0" fontId="23" fillId="0" borderId="2" xfId="21" applyFont="1" applyFill="1" applyBorder="1" applyAlignment="1">
      <alignment vertical="center"/>
    </xf>
    <xf numFmtId="0" fontId="1" fillId="0" borderId="0" xfId="21" applyFont="1" applyFill="1" applyBorder="1" applyAlignment="1">
      <alignment vertical="center"/>
    </xf>
    <xf numFmtId="0" fontId="1" fillId="0" borderId="0" xfId="21" applyFont="1" applyFill="1" applyBorder="1" applyAlignment="1"/>
    <xf numFmtId="0" fontId="15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3" borderId="0" xfId="0" applyFont="1" applyFill="1"/>
    <xf numFmtId="0" fontId="0" fillId="0" borderId="0" xfId="0" applyFont="1" applyFill="1"/>
    <xf numFmtId="0" fontId="0" fillId="3" borderId="0" xfId="0" applyFill="1" applyAlignment="1"/>
    <xf numFmtId="0" fontId="0" fillId="5" borderId="0" xfId="0" applyFont="1" applyFill="1"/>
    <xf numFmtId="0" fontId="20" fillId="0" borderId="0" xfId="33" applyFill="1" applyAlignment="1">
      <alignment horizontal="right"/>
    </xf>
    <xf numFmtId="0" fontId="14" fillId="0" borderId="0" xfId="0" applyFont="1"/>
    <xf numFmtId="0" fontId="0" fillId="0" borderId="0" xfId="0" applyAlignment="1"/>
    <xf numFmtId="164" fontId="21" fillId="0" borderId="0" xfId="21" applyNumberFormat="1" applyFont="1" applyAlignment="1">
      <alignment horizontal="left"/>
    </xf>
    <xf numFmtId="20" fontId="21" fillId="0" borderId="0" xfId="21" applyNumberFormat="1" applyFont="1" applyAlignment="1">
      <alignment horizontal="left"/>
    </xf>
    <xf numFmtId="0" fontId="19" fillId="0" borderId="0" xfId="21" applyFont="1" applyAlignment="1">
      <alignment horizontal="center"/>
    </xf>
    <xf numFmtId="0" fontId="1" fillId="0" borderId="0" xfId="14" applyFont="1" applyFill="1" applyBorder="1" applyAlignment="1"/>
    <xf numFmtId="0" fontId="1" fillId="0" borderId="0" xfId="22" applyFont="1" applyAlignment="1"/>
    <xf numFmtId="0" fontId="1" fillId="0" borderId="0" xfId="22" applyFont="1" applyFill="1" applyBorder="1" applyAlignment="1"/>
    <xf numFmtId="0" fontId="0" fillId="0" borderId="0" xfId="0" applyFont="1"/>
    <xf numFmtId="0" fontId="15" fillId="4" borderId="0" xfId="0" applyFont="1" applyFill="1"/>
    <xf numFmtId="0" fontId="15" fillId="3" borderId="0" xfId="8" applyFont="1" applyFill="1" applyAlignment="1"/>
    <xf numFmtId="0" fontId="1" fillId="4" borderId="0" xfId="8" applyFont="1" applyFill="1" applyAlignment="1"/>
    <xf numFmtId="0" fontId="1" fillId="12" borderId="0" xfId="8" applyFont="1" applyFill="1" applyAlignment="1"/>
    <xf numFmtId="0" fontId="1" fillId="0" borderId="0" xfId="8" applyFont="1" applyFill="1" applyAlignment="1"/>
    <xf numFmtId="0" fontId="1" fillId="4" borderId="0" xfId="8" applyFont="1" applyFill="1" applyAlignment="1">
      <alignment horizontal="center"/>
    </xf>
    <xf numFmtId="0" fontId="1" fillId="0" borderId="0" xfId="8" applyFont="1" applyFill="1" applyAlignment="1">
      <alignment horizontal="center"/>
    </xf>
    <xf numFmtId="0" fontId="17" fillId="0" borderId="0" xfId="25" applyFont="1" applyBorder="1" applyAlignment="1"/>
    <xf numFmtId="0" fontId="1" fillId="4" borderId="0" xfId="25" applyFont="1" applyFill="1" applyAlignment="1"/>
    <xf numFmtId="0" fontId="15" fillId="4" borderId="0" xfId="25" applyFont="1" applyFill="1" applyAlignment="1"/>
    <xf numFmtId="0" fontId="1" fillId="0" borderId="0" xfId="25" applyFont="1" applyAlignment="1"/>
    <xf numFmtId="0" fontId="14" fillId="4" borderId="0" xfId="8" applyFont="1" applyFill="1" applyAlignment="1">
      <alignment horizontal="right"/>
    </xf>
    <xf numFmtId="0" fontId="15" fillId="0" borderId="0" xfId="8" applyFont="1" applyFill="1" applyAlignment="1"/>
    <xf numFmtId="0" fontId="30" fillId="0" borderId="0" xfId="14" applyNumberFormat="1" applyFont="1" applyFill="1" applyBorder="1" applyAlignment="1"/>
    <xf numFmtId="0" fontId="15" fillId="0" borderId="0" xfId="25" applyFont="1" applyAlignment="1"/>
    <xf numFmtId="0" fontId="1" fillId="0" borderId="0" xfId="25" applyFont="1" applyFill="1" applyAlignment="1"/>
    <xf numFmtId="0" fontId="24" fillId="11" borderId="0" xfId="8" applyFont="1" applyFill="1" applyAlignment="1">
      <alignment horizontal="center"/>
    </xf>
    <xf numFmtId="0" fontId="0" fillId="13" borderId="0" xfId="8" applyFont="1" applyFill="1" applyAlignment="1"/>
    <xf numFmtId="0" fontId="1" fillId="13" borderId="0" xfId="8" applyFont="1" applyFill="1" applyAlignment="1"/>
    <xf numFmtId="0" fontId="33" fillId="0" borderId="1" xfId="8" applyFont="1" applyBorder="1" applyAlignment="1">
      <alignment vertical="top" wrapText="1"/>
    </xf>
    <xf numFmtId="0" fontId="1" fillId="0" borderId="1" xfId="6" applyFont="1" applyFill="1" applyBorder="1" applyAlignment="1">
      <alignment wrapText="1"/>
    </xf>
    <xf numFmtId="0" fontId="1" fillId="3" borderId="1" xfId="6" applyFont="1" applyFill="1" applyBorder="1" applyAlignment="1">
      <alignment wrapText="1"/>
    </xf>
    <xf numFmtId="0" fontId="1" fillId="7" borderId="1" xfId="6" applyFont="1" applyFill="1" applyBorder="1" applyAlignment="1">
      <alignment wrapText="1"/>
    </xf>
    <xf numFmtId="0" fontId="1" fillId="5" borderId="1" xfId="2" applyNumberFormat="1" applyFont="1" applyFill="1" applyBorder="1" applyAlignment="1" applyProtection="1">
      <alignment horizontal="center" vertical="top" textRotation="90"/>
    </xf>
    <xf numFmtId="0" fontId="1" fillId="5" borderId="1" xfId="2" applyNumberFormat="1" applyFont="1" applyFill="1" applyBorder="1" applyAlignment="1" applyProtection="1">
      <alignment textRotation="90"/>
    </xf>
    <xf numFmtId="0" fontId="34" fillId="5" borderId="40" xfId="2" applyNumberFormat="1" applyFont="1" applyFill="1" applyBorder="1" applyAlignment="1" applyProtection="1"/>
    <xf numFmtId="0" fontId="15" fillId="4" borderId="1" xfId="8" applyFont="1" applyFill="1" applyBorder="1" applyAlignment="1">
      <alignment horizontal="right"/>
    </xf>
    <xf numFmtId="0" fontId="0" fillId="0" borderId="1" xfId="8" applyFont="1" applyBorder="1" applyAlignment="1">
      <alignment horizontal="center"/>
    </xf>
    <xf numFmtId="0" fontId="15" fillId="0" borderId="1" xfId="8" applyFont="1" applyFill="1" applyBorder="1" applyAlignment="1">
      <alignment horizontal="center"/>
    </xf>
    <xf numFmtId="0" fontId="25" fillId="0" borderId="1" xfId="17" applyFont="1" applyFill="1" applyBorder="1" applyAlignment="1">
      <alignment horizontal="center"/>
    </xf>
    <xf numFmtId="0" fontId="35" fillId="0" borderId="1" xfId="17" applyFont="1" applyFill="1" applyBorder="1" applyAlignment="1"/>
    <xf numFmtId="0" fontId="1" fillId="3" borderId="1" xfId="6" applyFont="1" applyFill="1" applyBorder="1" applyAlignment="1">
      <alignment horizontal="center"/>
    </xf>
    <xf numFmtId="0" fontId="1" fillId="0" borderId="1" xfId="6" applyFont="1" applyFill="1" applyBorder="1" applyAlignment="1">
      <alignment horizontal="center"/>
    </xf>
    <xf numFmtId="0" fontId="1" fillId="7" borderId="1" xfId="6" applyFont="1" applyFill="1" applyBorder="1" applyAlignment="1">
      <alignment horizontal="center"/>
    </xf>
    <xf numFmtId="0" fontId="31" fillId="5" borderId="1" xfId="25" applyFont="1" applyFill="1" applyBorder="1" applyAlignment="1">
      <alignment horizontal="center"/>
    </xf>
    <xf numFmtId="0" fontId="20" fillId="5" borderId="1" xfId="33" applyFont="1" applyFill="1" applyBorder="1" applyAlignment="1">
      <alignment horizontal="center"/>
    </xf>
    <xf numFmtId="0" fontId="1" fillId="5" borderId="42" xfId="2" applyNumberFormat="1" applyFont="1" applyFill="1" applyBorder="1" applyAlignment="1">
      <alignment horizontal="center"/>
    </xf>
    <xf numFmtId="0" fontId="37" fillId="0" borderId="1" xfId="8" applyFont="1" applyBorder="1" applyAlignment="1"/>
    <xf numFmtId="0" fontId="38" fillId="0" borderId="1" xfId="8" applyFont="1" applyBorder="1" applyAlignment="1">
      <alignment horizontal="center"/>
    </xf>
    <xf numFmtId="0" fontId="39" fillId="0" borderId="1" xfId="8" applyFont="1" applyBorder="1" applyAlignment="1">
      <alignment horizontal="center"/>
    </xf>
    <xf numFmtId="0" fontId="40" fillId="0" borderId="1" xfId="8" applyFont="1" applyBorder="1" applyAlignment="1">
      <alignment horizontal="center"/>
    </xf>
    <xf numFmtId="0" fontId="15" fillId="4" borderId="1" xfId="8" applyFont="1" applyFill="1" applyBorder="1" applyAlignment="1"/>
    <xf numFmtId="0" fontId="15" fillId="0" borderId="1" xfId="8" applyFont="1" applyBorder="1" applyAlignment="1">
      <alignment horizontal="center"/>
    </xf>
    <xf numFmtId="0" fontId="41" fillId="0" borderId="1" xfId="17" applyFont="1" applyFill="1" applyBorder="1" applyAlignment="1">
      <alignment horizontal="center"/>
    </xf>
    <xf numFmtId="0" fontId="38" fillId="0" borderId="1" xfId="17" applyFont="1" applyFill="1" applyBorder="1" applyAlignment="1">
      <alignment horizontal="center"/>
    </xf>
    <xf numFmtId="0" fontId="40" fillId="5" borderId="1" xfId="17" applyFont="1" applyFill="1" applyBorder="1" applyAlignment="1">
      <alignment horizontal="center"/>
    </xf>
    <xf numFmtId="0" fontId="42" fillId="0" borderId="1" xfId="8" applyFont="1" applyFill="1" applyBorder="1" applyAlignment="1">
      <alignment horizontal="center"/>
    </xf>
    <xf numFmtId="0" fontId="17" fillId="0" borderId="1" xfId="8" applyFont="1" applyFill="1" applyBorder="1" applyAlignment="1">
      <alignment horizontal="center"/>
    </xf>
    <xf numFmtId="0" fontId="15" fillId="4" borderId="1" xfId="8" applyFont="1" applyFill="1" applyBorder="1" applyAlignment="1">
      <alignment horizontal="center"/>
    </xf>
    <xf numFmtId="0" fontId="37" fillId="0" borderId="1" xfId="6" applyFont="1" applyFill="1" applyBorder="1" applyAlignment="1">
      <alignment horizontal="center"/>
    </xf>
    <xf numFmtId="0" fontId="37" fillId="0" borderId="1" xfId="12" applyFont="1" applyFill="1" applyBorder="1" applyAlignment="1">
      <alignment horizontal="center"/>
    </xf>
    <xf numFmtId="0" fontId="20" fillId="5" borderId="1" xfId="33" applyFill="1" applyBorder="1" applyAlignment="1">
      <alignment horizontal="center"/>
    </xf>
    <xf numFmtId="0" fontId="43" fillId="5" borderId="1" xfId="25" applyFont="1" applyFill="1" applyBorder="1" applyAlignment="1">
      <alignment horizontal="center"/>
    </xf>
    <xf numFmtId="0" fontId="15" fillId="5" borderId="43" xfId="25" applyFont="1" applyFill="1" applyBorder="1" applyAlignment="1">
      <alignment horizontal="center"/>
    </xf>
    <xf numFmtId="0" fontId="20" fillId="5" borderId="41" xfId="33" applyFill="1" applyBorder="1" applyAlignment="1">
      <alignment horizontal="center"/>
    </xf>
    <xf numFmtId="0" fontId="37" fillId="0" borderId="1" xfId="8" applyFont="1" applyFill="1" applyBorder="1" applyAlignment="1"/>
    <xf numFmtId="0" fontId="38" fillId="0" borderId="1" xfId="8" applyFont="1" applyFill="1" applyBorder="1" applyAlignment="1"/>
    <xf numFmtId="0" fontId="39" fillId="0" borderId="1" xfId="8" applyFont="1" applyFill="1" applyBorder="1" applyAlignment="1"/>
    <xf numFmtId="0" fontId="40" fillId="0" borderId="1" xfId="8" applyFont="1" applyFill="1" applyBorder="1" applyAlignment="1"/>
    <xf numFmtId="0" fontId="37" fillId="0" borderId="1" xfId="8" applyFont="1" applyFill="1" applyBorder="1" applyAlignment="1">
      <alignment horizontal="right"/>
    </xf>
    <xf numFmtId="0" fontId="0" fillId="0" borderId="1" xfId="14" applyFont="1" applyFill="1" applyBorder="1" applyAlignment="1"/>
    <xf numFmtId="0" fontId="41" fillId="0" borderId="1" xfId="16" applyFont="1" applyFill="1" applyBorder="1" applyAlignment="1">
      <alignment horizontal="center"/>
    </xf>
    <xf numFmtId="0" fontId="38" fillId="0" borderId="1" xfId="16" applyFont="1" applyFill="1" applyBorder="1" applyAlignment="1">
      <alignment horizontal="center"/>
    </xf>
    <xf numFmtId="0" fontId="1" fillId="5" borderId="1" xfId="16" applyFont="1" applyFill="1" applyBorder="1" applyAlignment="1">
      <alignment horizontal="center"/>
    </xf>
    <xf numFmtId="0" fontId="42" fillId="0" borderId="1" xfId="16" applyFont="1" applyFill="1" applyBorder="1" applyAlignment="1">
      <alignment horizontal="center"/>
    </xf>
    <xf numFmtId="0" fontId="17" fillId="0" borderId="1" xfId="16" applyFont="1" applyFill="1" applyBorder="1" applyAlignment="1">
      <alignment horizontal="center"/>
    </xf>
    <xf numFmtId="0" fontId="15" fillId="4" borderId="1" xfId="8" applyNumberFormat="1" applyFont="1" applyFill="1" applyBorder="1" applyAlignment="1">
      <alignment horizontal="center"/>
    </xf>
    <xf numFmtId="0" fontId="37" fillId="0" borderId="1" xfId="16" applyFont="1" applyFill="1" applyBorder="1" applyAlignment="1">
      <alignment horizontal="center"/>
    </xf>
    <xf numFmtId="0" fontId="37" fillId="7" borderId="1" xfId="16" applyFont="1" applyFill="1" applyBorder="1" applyAlignment="1">
      <alignment horizontal="center"/>
    </xf>
    <xf numFmtId="0" fontId="1" fillId="0" borderId="1" xfId="25" applyFont="1" applyFill="1" applyBorder="1" applyAlignment="1">
      <alignment horizontal="center"/>
    </xf>
    <xf numFmtId="0" fontId="44" fillId="0" borderId="1" xfId="8" applyFont="1" applyFill="1" applyBorder="1" applyAlignment="1">
      <alignment horizontal="center"/>
    </xf>
    <xf numFmtId="0" fontId="1" fillId="0" borderId="40" xfId="8" applyFont="1" applyFill="1" applyBorder="1" applyAlignment="1">
      <alignment horizontal="center"/>
    </xf>
    <xf numFmtId="168" fontId="41" fillId="0" borderId="41" xfId="8" applyNumberFormat="1" applyFont="1" applyFill="1" applyBorder="1" applyAlignment="1">
      <alignment horizontal="center"/>
    </xf>
    <xf numFmtId="167" fontId="1" fillId="0" borderId="0" xfId="8" applyNumberFormat="1" applyFont="1" applyFill="1" applyBorder="1" applyAlignment="1">
      <alignment horizontal="center"/>
    </xf>
    <xf numFmtId="167" fontId="1" fillId="0" borderId="0" xfId="8" applyNumberFormat="1" applyFont="1" applyFill="1" applyAlignment="1">
      <alignment horizontal="center"/>
    </xf>
    <xf numFmtId="0" fontId="45" fillId="0" borderId="0" xfId="8" applyNumberFormat="1" applyFont="1" applyFill="1" applyAlignment="1"/>
    <xf numFmtId="0" fontId="44" fillId="0" borderId="0" xfId="8" applyNumberFormat="1" applyFont="1" applyFill="1" applyAlignment="1"/>
    <xf numFmtId="0" fontId="0" fillId="0" borderId="1" xfId="8" applyFont="1" applyFill="1" applyBorder="1" applyAlignment="1"/>
    <xf numFmtId="0" fontId="1" fillId="0" borderId="0" xfId="8" applyFont="1" applyFill="1" applyBorder="1" applyAlignment="1"/>
    <xf numFmtId="0" fontId="1" fillId="0" borderId="1" xfId="8" applyFont="1" applyFill="1" applyBorder="1" applyAlignment="1"/>
    <xf numFmtId="0" fontId="15" fillId="4" borderId="4" xfId="8" applyFont="1" applyFill="1" applyBorder="1" applyAlignment="1">
      <alignment horizontal="right"/>
    </xf>
    <xf numFmtId="0" fontId="41" fillId="0" borderId="4" xfId="16" applyFont="1" applyFill="1" applyBorder="1" applyAlignment="1">
      <alignment horizontal="center"/>
    </xf>
    <xf numFmtId="0" fontId="38" fillId="0" borderId="4" xfId="16" applyFont="1" applyFill="1" applyBorder="1" applyAlignment="1">
      <alignment horizontal="center"/>
    </xf>
    <xf numFmtId="0" fontId="42" fillId="0" borderId="4" xfId="16" applyFont="1" applyFill="1" applyBorder="1" applyAlignment="1">
      <alignment horizontal="center"/>
    </xf>
    <xf numFmtId="0" fontId="17" fillId="0" borderId="4" xfId="16" applyFont="1" applyFill="1" applyBorder="1" applyAlignment="1">
      <alignment horizontal="center"/>
    </xf>
    <xf numFmtId="0" fontId="37" fillId="0" borderId="4" xfId="16" applyFont="1" applyFill="1" applyBorder="1" applyAlignment="1">
      <alignment horizontal="center"/>
    </xf>
    <xf numFmtId="0" fontId="37" fillId="7" borderId="4" xfId="16" applyFont="1" applyFill="1" applyBorder="1" applyAlignment="1">
      <alignment horizontal="center"/>
    </xf>
    <xf numFmtId="0" fontId="1" fillId="0" borderId="1" xfId="14" applyFont="1" applyFill="1" applyBorder="1" applyAlignment="1"/>
    <xf numFmtId="0" fontId="15" fillId="4" borderId="3" xfId="8" applyFont="1" applyFill="1" applyBorder="1" applyAlignment="1">
      <alignment horizontal="right"/>
    </xf>
    <xf numFmtId="0" fontId="41" fillId="0" borderId="3" xfId="16" applyFont="1" applyFill="1" applyBorder="1" applyAlignment="1">
      <alignment horizontal="center"/>
    </xf>
    <xf numFmtId="0" fontId="38" fillId="0" borderId="3" xfId="16" applyFont="1" applyFill="1" applyBorder="1" applyAlignment="1">
      <alignment horizontal="center"/>
    </xf>
    <xf numFmtId="0" fontId="42" fillId="0" borderId="3" xfId="16" applyFont="1" applyFill="1" applyBorder="1" applyAlignment="1">
      <alignment horizontal="center"/>
    </xf>
    <xf numFmtId="0" fontId="37" fillId="0" borderId="3" xfId="16" applyFont="1" applyFill="1" applyBorder="1" applyAlignment="1">
      <alignment horizontal="center"/>
    </xf>
    <xf numFmtId="0" fontId="37" fillId="7" borderId="3" xfId="16" applyFont="1" applyFill="1" applyBorder="1" applyAlignment="1">
      <alignment horizontal="center"/>
    </xf>
    <xf numFmtId="0" fontId="0" fillId="5" borderId="1" xfId="16" applyFont="1" applyFill="1" applyBorder="1" applyAlignment="1">
      <alignment horizontal="center"/>
    </xf>
    <xf numFmtId="0" fontId="17" fillId="4" borderId="0" xfId="8" applyFont="1" applyFill="1" applyAlignment="1"/>
    <xf numFmtId="0" fontId="15" fillId="4" borderId="0" xfId="8" applyFont="1" applyFill="1" applyAlignment="1"/>
    <xf numFmtId="0" fontId="42" fillId="4" borderId="0" xfId="8" applyFont="1" applyFill="1" applyAlignment="1"/>
    <xf numFmtId="0" fontId="38" fillId="4" borderId="0" xfId="8" applyFont="1" applyFill="1" applyAlignment="1"/>
    <xf numFmtId="0" fontId="41" fillId="4" borderId="0" xfId="8" applyFont="1" applyFill="1" applyAlignment="1"/>
    <xf numFmtId="0" fontId="40" fillId="4" borderId="0" xfId="8" applyFont="1" applyFill="1" applyAlignment="1"/>
    <xf numFmtId="0" fontId="1" fillId="4" borderId="0" xfId="8" applyFont="1" applyFill="1" applyAlignment="1">
      <alignment horizontal="right"/>
    </xf>
    <xf numFmtId="0" fontId="15" fillId="4" borderId="0" xfId="8" applyFont="1" applyFill="1" applyAlignment="1">
      <alignment horizontal="center"/>
    </xf>
    <xf numFmtId="167" fontId="1" fillId="4" borderId="0" xfId="8" applyNumberFormat="1" applyFont="1" applyFill="1" applyAlignment="1">
      <alignment horizontal="center"/>
    </xf>
    <xf numFmtId="167" fontId="32" fillId="4" borderId="44" xfId="8" applyNumberFormat="1" applyFont="1" applyFill="1" applyBorder="1" applyAlignment="1">
      <alignment horizontal="center"/>
    </xf>
    <xf numFmtId="167" fontId="1" fillId="4" borderId="0" xfId="8" applyNumberFormat="1" applyFont="1" applyFill="1" applyAlignment="1"/>
    <xf numFmtId="1" fontId="1" fillId="4" borderId="0" xfId="8" applyNumberFormat="1" applyFont="1" applyFill="1" applyAlignment="1">
      <alignment horizontal="center"/>
    </xf>
    <xf numFmtId="1" fontId="32" fillId="4" borderId="0" xfId="8" applyNumberFormat="1" applyFont="1" applyFill="1" applyBorder="1" applyAlignment="1">
      <alignment horizontal="center"/>
    </xf>
    <xf numFmtId="0" fontId="15" fillId="0" borderId="0" xfId="8" applyFont="1" applyFill="1" applyAlignment="1">
      <alignment horizontal="center"/>
    </xf>
    <xf numFmtId="0" fontId="1" fillId="4" borderId="45" xfId="8" applyFont="1" applyFill="1" applyBorder="1" applyAlignment="1">
      <alignment horizontal="center"/>
    </xf>
    <xf numFmtId="0" fontId="0" fillId="4" borderId="45" xfId="8" applyFont="1" applyFill="1" applyBorder="1" applyAlignment="1">
      <alignment horizontal="center"/>
    </xf>
    <xf numFmtId="0" fontId="15" fillId="0" borderId="0" xfId="22" applyFont="1"/>
    <xf numFmtId="0" fontId="1" fillId="0" borderId="0" xfId="22" applyFont="1"/>
    <xf numFmtId="0" fontId="1" fillId="0" borderId="0" xfId="14" applyFont="1"/>
    <xf numFmtId="0" fontId="15" fillId="5" borderId="47" xfId="14" applyFont="1" applyFill="1" applyBorder="1" applyAlignment="1">
      <alignment horizontal="center"/>
    </xf>
    <xf numFmtId="0" fontId="15" fillId="0" borderId="47" xfId="14" applyFont="1" applyBorder="1" applyAlignment="1">
      <alignment horizontal="center"/>
    </xf>
    <xf numFmtId="0" fontId="15" fillId="0" borderId="47" xfId="22" applyFont="1" applyBorder="1" applyAlignment="1">
      <alignment horizontal="center"/>
    </xf>
    <xf numFmtId="0" fontId="15" fillId="0" borderId="48" xfId="22" applyFont="1" applyFill="1" applyBorder="1" applyAlignment="1">
      <alignment horizontal="center"/>
    </xf>
    <xf numFmtId="0" fontId="15" fillId="0" borderId="48" xfId="22" applyFont="1" applyBorder="1" applyAlignment="1">
      <alignment horizontal="center"/>
    </xf>
    <xf numFmtId="0" fontId="1" fillId="0" borderId="48" xfId="22" applyFont="1" applyFill="1" applyBorder="1" applyAlignment="1">
      <alignment horizontal="center"/>
    </xf>
    <xf numFmtId="49" fontId="1" fillId="0" borderId="0" xfId="22" applyNumberFormat="1" applyFont="1" applyBorder="1" applyAlignment="1">
      <alignment horizontal="center"/>
    </xf>
    <xf numFmtId="0" fontId="0" fillId="0" borderId="0" xfId="22" applyFont="1" applyBorder="1"/>
    <xf numFmtId="0" fontId="1" fillId="0" borderId="0" xfId="22" applyFont="1" applyFill="1" applyBorder="1" applyAlignment="1">
      <alignment horizontal="center"/>
    </xf>
    <xf numFmtId="0" fontId="29" fillId="0" borderId="0" xfId="22" applyFont="1" applyBorder="1"/>
    <xf numFmtId="0" fontId="1" fillId="0" borderId="0" xfId="22" applyFont="1" applyBorder="1"/>
    <xf numFmtId="0" fontId="1" fillId="0" borderId="0" xfId="22" applyFont="1" applyBorder="1" applyAlignment="1">
      <alignment horizontal="center"/>
    </xf>
    <xf numFmtId="0" fontId="15" fillId="0" borderId="8" xfId="22" applyFont="1" applyBorder="1"/>
    <xf numFmtId="0" fontId="1" fillId="0" borderId="0" xfId="14" applyFont="1" applyFill="1"/>
    <xf numFmtId="0" fontId="1" fillId="0" borderId="0" xfId="22" applyFont="1" applyFill="1"/>
    <xf numFmtId="0" fontId="15" fillId="0" borderId="0" xfId="22" applyFont="1" applyBorder="1"/>
    <xf numFmtId="0" fontId="16" fillId="0" borderId="0" xfId="22" applyFont="1" applyFill="1" applyAlignment="1"/>
    <xf numFmtId="0" fontId="1" fillId="0" borderId="0" xfId="22" applyFont="1" applyFill="1" applyAlignment="1"/>
    <xf numFmtId="0" fontId="15" fillId="0" borderId="0" xfId="22" applyFont="1" applyFill="1" applyBorder="1" applyAlignment="1">
      <alignment horizontal="right"/>
    </xf>
    <xf numFmtId="0" fontId="1" fillId="0" borderId="0" xfId="22" applyFont="1" applyAlignment="1">
      <alignment horizontal="left"/>
    </xf>
    <xf numFmtId="0" fontId="15" fillId="0" borderId="0" xfId="22" applyFont="1" applyAlignment="1">
      <alignment horizontal="right"/>
    </xf>
    <xf numFmtId="0" fontId="0" fillId="0" borderId="49" xfId="22" applyFont="1" applyBorder="1"/>
    <xf numFmtId="0" fontId="1" fillId="0" borderId="50" xfId="22" applyFont="1" applyBorder="1" applyAlignment="1">
      <alignment horizontal="left"/>
    </xf>
    <xf numFmtId="0" fontId="1" fillId="0" borderId="51" xfId="22" applyFont="1" applyBorder="1"/>
    <xf numFmtId="0" fontId="1" fillId="0" borderId="52" xfId="22" applyFont="1" applyBorder="1"/>
    <xf numFmtId="0" fontId="1" fillId="0" borderId="53" xfId="22" applyFont="1" applyBorder="1"/>
    <xf numFmtId="0" fontId="1" fillId="0" borderId="0" xfId="22" applyFont="1" applyBorder="1" applyAlignment="1">
      <alignment horizontal="left"/>
    </xf>
    <xf numFmtId="0" fontId="1" fillId="0" borderId="51" xfId="22" applyFont="1" applyBorder="1" applyAlignment="1">
      <alignment horizontal="left"/>
    </xf>
    <xf numFmtId="0" fontId="15" fillId="0" borderId="48" xfId="22" applyFont="1" applyBorder="1" applyAlignment="1"/>
    <xf numFmtId="0" fontId="1" fillId="0" borderId="0" xfId="14" applyFont="1" applyFill="1" applyAlignment="1"/>
    <xf numFmtId="0" fontId="15" fillId="0" borderId="48" xfId="22" applyFont="1" applyBorder="1" applyAlignment="1">
      <alignment vertical="center"/>
    </xf>
    <xf numFmtId="0" fontId="0" fillId="0" borderId="48" xfId="22" applyNumberFormat="1" applyFont="1" applyFill="1" applyBorder="1" applyAlignment="1">
      <alignment horizontal="center" vertical="center"/>
    </xf>
    <xf numFmtId="0" fontId="1" fillId="0" borderId="48" xfId="22" applyFont="1" applyFill="1" applyBorder="1" applyAlignment="1">
      <alignment horizontal="center" vertical="center"/>
    </xf>
    <xf numFmtId="0" fontId="1" fillId="14" borderId="48" xfId="22" applyFont="1" applyFill="1" applyBorder="1" applyAlignment="1">
      <alignment horizontal="center" vertical="center"/>
    </xf>
    <xf numFmtId="0" fontId="37" fillId="0" borderId="0" xfId="22" applyFont="1" applyFill="1" applyBorder="1" applyAlignment="1">
      <alignment horizontal="center" vertical="center" wrapText="1"/>
    </xf>
    <xf numFmtId="1" fontId="37" fillId="0" borderId="0" xfId="22" applyNumberFormat="1" applyFont="1" applyFill="1" applyBorder="1" applyAlignment="1">
      <alignment horizontal="center" vertical="center" wrapText="1"/>
    </xf>
    <xf numFmtId="0" fontId="1" fillId="0" borderId="0" xfId="22" applyFont="1" applyBorder="1" applyAlignment="1">
      <alignment horizontal="right"/>
    </xf>
    <xf numFmtId="0" fontId="17" fillId="0" borderId="0" xfId="22" applyFont="1" applyAlignment="1"/>
    <xf numFmtId="0" fontId="0" fillId="0" borderId="0" xfId="22" applyFont="1" applyBorder="1" applyAlignment="1"/>
    <xf numFmtId="0" fontId="29" fillId="0" borderId="0" xfId="22" applyFont="1"/>
    <xf numFmtId="0" fontId="15" fillId="0" borderId="0" xfId="0" applyFont="1" applyAlignment="1">
      <alignment horizontal="right"/>
    </xf>
    <xf numFmtId="0" fontId="0" fillId="0" borderId="8" xfId="0" applyBorder="1"/>
    <xf numFmtId="0" fontId="0" fillId="0" borderId="0" xfId="0" applyBorder="1"/>
    <xf numFmtId="0" fontId="0" fillId="0" borderId="54" xfId="0" applyFont="1" applyBorder="1"/>
    <xf numFmtId="0" fontId="1" fillId="0" borderId="54" xfId="22" applyFont="1" applyBorder="1"/>
    <xf numFmtId="0" fontId="1" fillId="0" borderId="54" xfId="22" applyFont="1" applyBorder="1" applyAlignment="1">
      <alignment horizontal="left"/>
    </xf>
    <xf numFmtId="0" fontId="0" fillId="0" borderId="50" xfId="22" applyFont="1" applyBorder="1"/>
    <xf numFmtId="0" fontId="0" fillId="0" borderId="0" xfId="14" applyFont="1" applyBorder="1" applyAlignment="1"/>
    <xf numFmtId="0" fontId="17" fillId="0" borderId="0" xfId="0" applyFont="1"/>
    <xf numFmtId="0" fontId="0" fillId="0" borderId="0" xfId="14" applyFont="1" applyAlignment="1">
      <alignment horizontal="right"/>
    </xf>
    <xf numFmtId="0" fontId="1" fillId="4" borderId="0" xfId="14" applyFont="1" applyFill="1"/>
    <xf numFmtId="0" fontId="15" fillId="0" borderId="47" xfId="14" applyFont="1" applyFill="1" applyBorder="1" applyAlignment="1">
      <alignment horizontal="center"/>
    </xf>
    <xf numFmtId="169" fontId="0" fillId="0" borderId="0" xfId="0" applyNumberFormat="1" applyFill="1"/>
    <xf numFmtId="0" fontId="15" fillId="0" borderId="47" xfId="22" applyFont="1" applyBorder="1" applyAlignment="1">
      <alignment horizontal="center" vertical="center"/>
    </xf>
    <xf numFmtId="0" fontId="1" fillId="4" borderId="47" xfId="14" applyFont="1" applyFill="1" applyBorder="1" applyAlignment="1">
      <alignment horizontal="center" vertical="center"/>
    </xf>
    <xf numFmtId="0" fontId="1" fillId="4" borderId="47" xfId="14" applyFont="1" applyFill="1" applyBorder="1" applyAlignment="1">
      <alignment vertical="center"/>
    </xf>
    <xf numFmtId="0" fontId="1" fillId="0" borderId="0" xfId="14" applyFont="1" applyBorder="1"/>
    <xf numFmtId="0" fontId="0" fillId="5" borderId="0" xfId="0" applyFont="1" applyFill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14" applyFont="1"/>
    <xf numFmtId="0" fontId="0" fillId="3" borderId="0" xfId="0" applyFont="1" applyFill="1" applyAlignment="1">
      <alignment horizontal="right"/>
    </xf>
    <xf numFmtId="0" fontId="0" fillId="15" borderId="0" xfId="0" applyFont="1" applyFill="1" applyAlignment="1">
      <alignment horizontal="right"/>
    </xf>
    <xf numFmtId="0" fontId="15" fillId="0" borderId="48" xfId="22" applyFont="1" applyFill="1" applyBorder="1" applyAlignment="1"/>
    <xf numFmtId="0" fontId="15" fillId="0" borderId="0" xfId="34" applyFont="1" applyFill="1" applyAlignment="1">
      <alignment horizontal="center"/>
    </xf>
    <xf numFmtId="0" fontId="15" fillId="0" borderId="0" xfId="35" applyNumberFormat="1" applyFont="1" applyFill="1" applyAlignment="1">
      <alignment horizontal="center"/>
    </xf>
    <xf numFmtId="0" fontId="15" fillId="0" borderId="0" xfId="35" quotePrefix="1" applyFont="1" applyFill="1" applyAlignment="1">
      <alignment horizontal="center"/>
    </xf>
    <xf numFmtId="49" fontId="15" fillId="0" borderId="0" xfId="0" applyNumberFormat="1" applyFont="1" applyAlignment="1">
      <alignment horizontal="center"/>
    </xf>
    <xf numFmtId="169" fontId="15" fillId="16" borderId="0" xfId="0" applyNumberFormat="1" applyFont="1" applyFill="1" applyAlignment="1">
      <alignment horizontal="center"/>
    </xf>
    <xf numFmtId="0" fontId="35" fillId="0" borderId="0" xfId="35" applyFont="1" applyAlignment="1">
      <alignment horizontal="center"/>
    </xf>
    <xf numFmtId="0" fontId="35" fillId="0" borderId="0" xfId="35" applyNumberFormat="1" applyFont="1" applyAlignment="1">
      <alignment horizontal="center"/>
    </xf>
    <xf numFmtId="0" fontId="35" fillId="0" borderId="0" xfId="35" applyFont="1" applyFill="1" applyAlignment="1">
      <alignment horizontal="center"/>
    </xf>
    <xf numFmtId="0" fontId="4" fillId="0" borderId="0" xfId="22" applyFont="1" applyFill="1" applyBorder="1" applyAlignment="1"/>
    <xf numFmtId="49" fontId="1" fillId="0" borderId="0" xfId="22" applyNumberFormat="1" applyFont="1" applyBorder="1" applyAlignment="1"/>
    <xf numFmtId="49" fontId="0" fillId="0" borderId="0" xfId="22" applyNumberFormat="1" applyFont="1" applyBorder="1" applyAlignment="1">
      <alignment horizontal="center"/>
    </xf>
    <xf numFmtId="0" fontId="15" fillId="4" borderId="0" xfId="0" applyFont="1" applyFill="1" applyAlignment="1"/>
    <xf numFmtId="0" fontId="0" fillId="4" borderId="0" xfId="0" applyFill="1" applyAlignment="1"/>
    <xf numFmtId="0" fontId="1" fillId="0" borderId="69" xfId="22" applyFont="1" applyFill="1" applyBorder="1"/>
    <xf numFmtId="0" fontId="0" fillId="0" borderId="70" xfId="22" applyFont="1" applyFill="1" applyBorder="1"/>
    <xf numFmtId="0" fontId="1" fillId="0" borderId="70" xfId="22" applyFont="1" applyBorder="1"/>
    <xf numFmtId="0" fontId="1" fillId="0" borderId="69" xfId="22" applyFont="1" applyBorder="1"/>
    <xf numFmtId="0" fontId="0" fillId="0" borderId="71" xfId="22" applyFont="1" applyBorder="1"/>
    <xf numFmtId="0" fontId="1" fillId="0" borderId="69" xfId="22" applyFont="1" applyBorder="1" applyAlignment="1">
      <alignment horizontal="left"/>
    </xf>
    <xf numFmtId="0" fontId="1" fillId="0" borderId="70" xfId="22" applyFont="1" applyBorder="1" applyAlignment="1">
      <alignment horizontal="left"/>
    </xf>
    <xf numFmtId="0" fontId="0" fillId="0" borderId="48" xfId="0" applyBorder="1" applyAlignment="1">
      <alignment wrapText="1"/>
    </xf>
    <xf numFmtId="0" fontId="15" fillId="0" borderId="48" xfId="22" applyFont="1" applyFill="1" applyBorder="1" applyAlignment="1">
      <alignment vertical="center"/>
    </xf>
    <xf numFmtId="0" fontId="15" fillId="0" borderId="48" xfId="22" applyFont="1" applyBorder="1" applyAlignment="1">
      <alignment horizontal="center" vertical="center"/>
    </xf>
    <xf numFmtId="0" fontId="15" fillId="0" borderId="48" xfId="22" applyFont="1" applyFill="1" applyBorder="1" applyAlignment="1">
      <alignment horizontal="center" vertical="center"/>
    </xf>
    <xf numFmtId="0" fontId="15" fillId="0" borderId="0" xfId="34" applyFont="1" applyFill="1" applyAlignment="1">
      <alignment horizontal="center" vertical="center"/>
    </xf>
    <xf numFmtId="0" fontId="15" fillId="0" borderId="0" xfId="35" applyNumberFormat="1" applyFont="1" applyFill="1" applyAlignment="1">
      <alignment horizontal="center" vertical="center"/>
    </xf>
    <xf numFmtId="0" fontId="15" fillId="0" borderId="0" xfId="35" quotePrefix="1" applyFont="1" applyFill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69" fontId="15" fillId="16" borderId="0" xfId="0" applyNumberFormat="1" applyFont="1" applyFill="1" applyAlignment="1">
      <alignment horizontal="center" vertical="center"/>
    </xf>
    <xf numFmtId="0" fontId="35" fillId="0" borderId="0" xfId="35" applyFont="1" applyAlignment="1">
      <alignment horizontal="center" vertical="center"/>
    </xf>
    <xf numFmtId="0" fontId="35" fillId="0" borderId="0" xfId="35" applyNumberFormat="1" applyFont="1" applyAlignment="1">
      <alignment horizontal="center" vertical="center"/>
    </xf>
    <xf numFmtId="0" fontId="35" fillId="0" borderId="0" xfId="35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14" applyFont="1" applyAlignment="1">
      <alignment vertical="center"/>
    </xf>
    <xf numFmtId="0" fontId="0" fillId="0" borderId="48" xfId="14" applyFont="1" applyFill="1" applyBorder="1" applyAlignment="1">
      <alignment vertical="center" wrapText="1"/>
    </xf>
    <xf numFmtId="167" fontId="1" fillId="0" borderId="0" xfId="14" applyNumberFormat="1" applyFont="1" applyFill="1" applyAlignment="1">
      <alignment horizontal="center" vertical="center"/>
    </xf>
    <xf numFmtId="0" fontId="16" fillId="0" borderId="0" xfId="22" applyNumberFormat="1" applyFont="1" applyFill="1" applyBorder="1" applyAlignment="1">
      <alignment horizontal="center" vertical="center" wrapText="1"/>
    </xf>
    <xf numFmtId="169" fontId="1" fillId="0" borderId="0" xfId="22" applyNumberFormat="1" applyFont="1" applyFill="1" applyBorder="1" applyAlignment="1">
      <alignment horizontal="right" vertical="center" wrapText="1"/>
    </xf>
    <xf numFmtId="0" fontId="16" fillId="0" borderId="0" xfId="22" applyNumberFormat="1" applyFont="1" applyFill="1" applyBorder="1" applyAlignment="1">
      <alignment horizontal="center" vertical="center"/>
    </xf>
    <xf numFmtId="169" fontId="0" fillId="0" borderId="0" xfId="0" applyNumberFormat="1" applyFill="1" applyAlignment="1">
      <alignment vertical="center"/>
    </xf>
    <xf numFmtId="170" fontId="37" fillId="0" borderId="0" xfId="22" applyNumberFormat="1" applyFont="1" applyFill="1" applyBorder="1" applyAlignment="1">
      <alignment horizontal="right" vertical="center" wrapText="1"/>
    </xf>
    <xf numFmtId="0" fontId="37" fillId="0" borderId="0" xfId="0" applyFont="1" applyFill="1" applyAlignment="1">
      <alignment horizontal="center" vertical="center"/>
    </xf>
    <xf numFmtId="0" fontId="0" fillId="0" borderId="48" xfId="0" applyBorder="1" applyAlignment="1">
      <alignment vertical="center" wrapText="1"/>
    </xf>
    <xf numFmtId="167" fontId="1" fillId="0" borderId="0" xfId="32" applyNumberFormat="1" applyFont="1" applyFill="1" applyAlignment="1">
      <alignment horizontal="center" vertical="center"/>
    </xf>
    <xf numFmtId="169" fontId="1" fillId="0" borderId="0" xfId="22" applyNumberFormat="1" applyFont="1" applyFill="1" applyBorder="1" applyAlignment="1">
      <alignment horizontal="right" vertical="center"/>
    </xf>
    <xf numFmtId="0" fontId="37" fillId="0" borderId="0" xfId="22" applyFont="1" applyFill="1" applyBorder="1" applyAlignment="1">
      <alignment horizontal="center" vertical="center"/>
    </xf>
    <xf numFmtId="0" fontId="4" fillId="0" borderId="48" xfId="22" applyFont="1" applyFill="1" applyBorder="1" applyAlignment="1">
      <alignment horizontal="center" vertical="center"/>
    </xf>
    <xf numFmtId="0" fontId="0" fillId="0" borderId="48" xfId="0" applyFill="1" applyBorder="1" applyAlignment="1">
      <alignment vertical="center" wrapText="1"/>
    </xf>
    <xf numFmtId="0" fontId="15" fillId="0" borderId="0" xfId="22" applyFont="1" applyBorder="1" applyAlignment="1">
      <alignment vertical="center"/>
    </xf>
    <xf numFmtId="0" fontId="16" fillId="0" borderId="0" xfId="14" applyFont="1" applyFill="1" applyAlignment="1">
      <alignment vertical="center" wrapText="1"/>
    </xf>
    <xf numFmtId="0" fontId="1" fillId="0" borderId="0" xfId="22" applyFont="1" applyBorder="1" applyAlignment="1">
      <alignment vertical="center"/>
    </xf>
    <xf numFmtId="16" fontId="1" fillId="0" borderId="0" xfId="22" applyNumberFormat="1" applyFont="1" applyBorder="1" applyAlignment="1">
      <alignment vertical="center"/>
    </xf>
    <xf numFmtId="0" fontId="1" fillId="0" borderId="0" xfId="22" applyFont="1" applyFill="1" applyBorder="1" applyAlignment="1">
      <alignment vertical="center"/>
    </xf>
    <xf numFmtId="0" fontId="1" fillId="0" borderId="0" xfId="22" applyFont="1" applyAlignment="1">
      <alignment vertical="center"/>
    </xf>
    <xf numFmtId="49" fontId="1" fillId="0" borderId="0" xfId="22" applyNumberFormat="1" applyFont="1" applyFill="1" applyBorder="1" applyAlignment="1">
      <alignment vertical="center"/>
    </xf>
    <xf numFmtId="0" fontId="1" fillId="0" borderId="0" xfId="14" applyFont="1" applyFill="1" applyAlignment="1">
      <alignment vertical="center"/>
    </xf>
    <xf numFmtId="0" fontId="35" fillId="0" borderId="0" xfId="14" applyFont="1" applyAlignment="1">
      <alignment vertical="center"/>
    </xf>
    <xf numFmtId="0" fontId="15" fillId="0" borderId="48" xfId="22" applyFont="1" applyFill="1" applyBorder="1" applyAlignment="1">
      <alignment vertical="center" wrapText="1"/>
    </xf>
    <xf numFmtId="0" fontId="15" fillId="0" borderId="0" xfId="14" applyFont="1" applyFill="1" applyAlignment="1">
      <alignment horizontal="center" vertical="center"/>
    </xf>
    <xf numFmtId="0" fontId="15" fillId="0" borderId="0" xfId="22" applyNumberFormat="1" applyFont="1" applyFill="1" applyAlignment="1">
      <alignment horizontal="center" vertical="center"/>
    </xf>
    <xf numFmtId="0" fontId="15" fillId="0" borderId="0" xfId="22" quotePrefix="1" applyFont="1" applyFill="1" applyAlignment="1">
      <alignment horizontal="center" vertical="center"/>
    </xf>
    <xf numFmtId="0" fontId="35" fillId="0" borderId="0" xfId="22" applyFont="1" applyAlignment="1">
      <alignment horizontal="center" vertical="center"/>
    </xf>
    <xf numFmtId="0" fontId="35" fillId="0" borderId="0" xfId="22" applyNumberFormat="1" applyFont="1" applyAlignment="1">
      <alignment horizontal="center" vertical="center"/>
    </xf>
    <xf numFmtId="0" fontId="35" fillId="0" borderId="0" xfId="22" applyFont="1" applyFill="1" applyAlignment="1">
      <alignment horizontal="center" vertical="center"/>
    </xf>
    <xf numFmtId="0" fontId="0" fillId="0" borderId="48" xfId="22" applyFont="1" applyFill="1" applyBorder="1" applyAlignment="1">
      <alignment vertical="center" wrapText="1"/>
    </xf>
    <xf numFmtId="0" fontId="1" fillId="0" borderId="48" xfId="22" applyFont="1" applyBorder="1" applyAlignment="1">
      <alignment horizontal="center" vertical="center"/>
    </xf>
    <xf numFmtId="0" fontId="16" fillId="0" borderId="0" xfId="22" applyFont="1" applyFill="1" applyAlignment="1">
      <alignment vertical="center"/>
    </xf>
    <xf numFmtId="0" fontId="15" fillId="0" borderId="0" xfId="22" applyFont="1" applyAlignment="1">
      <alignment vertical="center"/>
    </xf>
    <xf numFmtId="0" fontId="1" fillId="0" borderId="0" xfId="22" applyFont="1" applyFill="1" applyAlignment="1">
      <alignment vertical="center" wrapText="1"/>
    </xf>
    <xf numFmtId="0" fontId="1" fillId="0" borderId="0" xfId="32" applyFont="1" applyAlignment="1">
      <alignment vertical="center"/>
    </xf>
    <xf numFmtId="49" fontId="1" fillId="0" borderId="0" xfId="22" applyNumberFormat="1" applyFont="1" applyFill="1" applyAlignment="1">
      <alignment vertical="center"/>
    </xf>
    <xf numFmtId="0" fontId="1" fillId="0" borderId="0" xfId="22" applyFont="1" applyFill="1" applyAlignment="1">
      <alignment vertical="center"/>
    </xf>
    <xf numFmtId="0" fontId="0" fillId="0" borderId="48" xfId="22" applyFont="1" applyBorder="1" applyAlignment="1">
      <alignment vertical="center" wrapText="1"/>
    </xf>
    <xf numFmtId="0" fontId="1" fillId="0" borderId="0" xfId="22" applyFont="1" applyAlignment="1">
      <alignment vertical="center" wrapText="1"/>
    </xf>
    <xf numFmtId="49" fontId="0" fillId="0" borderId="0" xfId="22" applyNumberFormat="1" applyFont="1" applyFill="1" applyBorder="1" applyAlignment="1">
      <alignment vertical="center"/>
    </xf>
    <xf numFmtId="0" fontId="41" fillId="0" borderId="55" xfId="16" applyFont="1" applyFill="1" applyBorder="1" applyAlignment="1">
      <alignment horizontal="center"/>
    </xf>
    <xf numFmtId="0" fontId="38" fillId="0" borderId="55" xfId="16" applyFont="1" applyFill="1" applyBorder="1" applyAlignment="1">
      <alignment horizontal="center"/>
    </xf>
    <xf numFmtId="0" fontId="1" fillId="5" borderId="55" xfId="16" applyFont="1" applyFill="1" applyBorder="1" applyAlignment="1">
      <alignment horizontal="center"/>
    </xf>
    <xf numFmtId="0" fontId="42" fillId="0" borderId="55" xfId="16" applyFont="1" applyFill="1" applyBorder="1" applyAlignment="1">
      <alignment horizontal="center"/>
    </xf>
    <xf numFmtId="0" fontId="17" fillId="0" borderId="55" xfId="16" applyFont="1" applyFill="1" applyBorder="1" applyAlignment="1">
      <alignment horizontal="center"/>
    </xf>
    <xf numFmtId="0" fontId="15" fillId="0" borderId="48" xfId="8" applyFont="1" applyBorder="1" applyAlignment="1">
      <alignment vertical="center"/>
    </xf>
    <xf numFmtId="0" fontId="32" fillId="0" borderId="0" xfId="12" applyFont="1" applyFill="1" applyAlignment="1">
      <alignment horizontal="right"/>
    </xf>
    <xf numFmtId="0" fontId="0" fillId="4" borderId="0" xfId="0" applyFill="1"/>
    <xf numFmtId="169" fontId="47" fillId="0" borderId="0" xfId="0" applyNumberFormat="1" applyFont="1" applyFill="1" applyAlignment="1">
      <alignment vertical="center"/>
    </xf>
    <xf numFmtId="0" fontId="37" fillId="0" borderId="0" xfId="0" applyFont="1" applyFill="1" applyAlignment="1">
      <alignment horizontal="right" vertical="center"/>
    </xf>
    <xf numFmtId="169" fontId="37" fillId="0" borderId="0" xfId="0" applyNumberFormat="1" applyFont="1" applyFill="1" applyAlignment="1">
      <alignment vertical="center"/>
    </xf>
    <xf numFmtId="0" fontId="37" fillId="0" borderId="0" xfId="0" applyFont="1" applyAlignment="1">
      <alignment vertical="center"/>
    </xf>
    <xf numFmtId="0" fontId="0" fillId="0" borderId="48" xfId="0" applyBorder="1"/>
    <xf numFmtId="0" fontId="48" fillId="5" borderId="41" xfId="25" applyFont="1" applyFill="1" applyBorder="1" applyAlignment="1">
      <alignment horizontal="center"/>
    </xf>
    <xf numFmtId="0" fontId="33" fillId="0" borderId="40" xfId="8" applyFont="1" applyBorder="1" applyAlignment="1">
      <alignment vertical="top" wrapText="1"/>
    </xf>
    <xf numFmtId="0" fontId="37" fillId="0" borderId="40" xfId="8" applyFont="1" applyBorder="1" applyAlignment="1"/>
    <xf numFmtId="0" fontId="37" fillId="0" borderId="40" xfId="8" applyFont="1" applyFill="1" applyBorder="1" applyAlignment="1"/>
    <xf numFmtId="0" fontId="33" fillId="0" borderId="55" xfId="8" applyFont="1" applyBorder="1" applyAlignment="1">
      <alignment vertical="top" wrapText="1"/>
    </xf>
    <xf numFmtId="0" fontId="33" fillId="0" borderId="46" xfId="8" applyFont="1" applyBorder="1" applyAlignment="1">
      <alignment vertical="top" wrapText="1"/>
    </xf>
    <xf numFmtId="0" fontId="37" fillId="0" borderId="46" xfId="8" applyFont="1" applyBorder="1" applyAlignment="1"/>
    <xf numFmtId="0" fontId="37" fillId="0" borderId="46" xfId="8" applyFont="1" applyFill="1" applyBorder="1" applyAlignment="1"/>
    <xf numFmtId="0" fontId="38" fillId="0" borderId="1" xfId="8" applyFont="1" applyBorder="1" applyAlignment="1">
      <alignment vertical="top" wrapText="1"/>
    </xf>
    <xf numFmtId="0" fontId="0" fillId="0" borderId="71" xfId="22" applyFont="1" applyFill="1" applyBorder="1"/>
    <xf numFmtId="0" fontId="0" fillId="0" borderId="73" xfId="22" applyFont="1" applyBorder="1"/>
    <xf numFmtId="0" fontId="0" fillId="0" borderId="73" xfId="0" applyBorder="1"/>
    <xf numFmtId="0" fontId="0" fillId="0" borderId="74" xfId="22" applyFont="1" applyBorder="1"/>
    <xf numFmtId="0" fontId="1" fillId="0" borderId="73" xfId="22" applyFont="1" applyBorder="1"/>
    <xf numFmtId="0" fontId="0" fillId="0" borderId="70" xfId="0" applyFont="1" applyBorder="1"/>
    <xf numFmtId="0" fontId="0" fillId="0" borderId="55" xfId="8" applyFont="1" applyFill="1" applyBorder="1" applyAlignment="1"/>
    <xf numFmtId="0" fontId="1" fillId="0" borderId="55" xfId="14" applyFont="1" applyFill="1" applyBorder="1" applyAlignment="1"/>
    <xf numFmtId="0" fontId="15" fillId="0" borderId="48" xfId="0" applyFont="1" applyBorder="1" applyAlignment="1">
      <alignment horizontal="center"/>
    </xf>
    <xf numFmtId="0" fontId="15" fillId="0" borderId="77" xfId="0" applyFont="1" applyBorder="1" applyAlignment="1"/>
    <xf numFmtId="0" fontId="15" fillId="0" borderId="78" xfId="0" applyFont="1" applyBorder="1" applyAlignment="1"/>
    <xf numFmtId="0" fontId="15" fillId="0" borderId="79" xfId="0" applyFont="1" applyBorder="1" applyAlignment="1"/>
    <xf numFmtId="0" fontId="15" fillId="0" borderId="48" xfId="0" applyFont="1" applyBorder="1" applyAlignment="1"/>
    <xf numFmtId="0" fontId="15" fillId="0" borderId="78" xfId="14" applyFont="1" applyBorder="1" applyAlignment="1">
      <alignment horizontal="center"/>
    </xf>
    <xf numFmtId="0" fontId="1" fillId="0" borderId="79" xfId="14" applyFont="1" applyBorder="1"/>
    <xf numFmtId="0" fontId="15" fillId="0" borderId="48" xfId="0" applyFont="1" applyBorder="1" applyAlignment="1">
      <alignment vertical="center"/>
    </xf>
    <xf numFmtId="0" fontId="0" fillId="0" borderId="77" xfId="0" applyNumberFormat="1" applyFont="1" applyFill="1" applyBorder="1" applyAlignment="1">
      <alignment horizontal="center" vertical="center"/>
    </xf>
    <xf numFmtId="49" fontId="0" fillId="0" borderId="78" xfId="0" applyNumberFormat="1" applyFont="1" applyFill="1" applyBorder="1" applyAlignment="1">
      <alignment horizontal="center" vertical="center"/>
    </xf>
    <xf numFmtId="0" fontId="0" fillId="0" borderId="78" xfId="0" applyNumberFormat="1" applyFont="1" applyFill="1" applyBorder="1" applyAlignment="1">
      <alignment horizontal="center" vertical="center"/>
    </xf>
    <xf numFmtId="0" fontId="0" fillId="0" borderId="78" xfId="0" applyNumberFormat="1" applyFill="1" applyBorder="1" applyAlignment="1">
      <alignment vertical="center"/>
    </xf>
    <xf numFmtId="0" fontId="15" fillId="0" borderId="48" xfId="0" applyNumberFormat="1" applyFont="1" applyFill="1" applyBorder="1" applyAlignment="1">
      <alignment horizontal="center" vertical="center"/>
    </xf>
    <xf numFmtId="0" fontId="15" fillId="0" borderId="77" xfId="0" applyNumberFormat="1" applyFont="1" applyFill="1" applyBorder="1" applyAlignment="1">
      <alignment horizontal="center" vertical="center"/>
    </xf>
    <xf numFmtId="0" fontId="0" fillId="0" borderId="79" xfId="0" applyNumberFormat="1" applyFont="1" applyFill="1" applyBorder="1" applyAlignment="1">
      <alignment horizontal="center" vertical="center"/>
    </xf>
    <xf numFmtId="169" fontId="1" fillId="0" borderId="0" xfId="14" applyNumberFormat="1" applyFont="1" applyFill="1" applyAlignment="1">
      <alignment vertical="center"/>
    </xf>
    <xf numFmtId="0" fontId="0" fillId="0" borderId="48" xfId="14" applyFont="1" applyBorder="1" applyAlignment="1">
      <alignment vertical="center" wrapText="1"/>
    </xf>
    <xf numFmtId="0" fontId="0" fillId="5" borderId="55" xfId="16" applyFont="1" applyFill="1" applyBorder="1" applyAlignment="1">
      <alignment horizontal="center"/>
    </xf>
    <xf numFmtId="0" fontId="1" fillId="0" borderId="48" xfId="22" applyFont="1" applyFill="1" applyBorder="1" applyAlignment="1">
      <alignment vertical="center" wrapText="1"/>
    </xf>
    <xf numFmtId="0" fontId="1" fillId="5" borderId="40" xfId="2" applyNumberFormat="1" applyFont="1" applyFill="1" applyBorder="1" applyAlignment="1" applyProtection="1">
      <alignment textRotation="90"/>
    </xf>
    <xf numFmtId="0" fontId="44" fillId="0" borderId="40" xfId="8" applyFont="1" applyFill="1" applyBorder="1" applyAlignment="1">
      <alignment horizontal="center"/>
    </xf>
    <xf numFmtId="0" fontId="1" fillId="5" borderId="80" xfId="33" applyFont="1" applyFill="1" applyBorder="1" applyAlignment="1">
      <alignment horizontal="center"/>
    </xf>
    <xf numFmtId="0" fontId="1" fillId="5" borderId="81" xfId="25" applyFont="1" applyFill="1" applyBorder="1" applyAlignment="1">
      <alignment horizontal="center"/>
    </xf>
    <xf numFmtId="0" fontId="0" fillId="0" borderId="55" xfId="14" applyFont="1" applyFill="1" applyBorder="1" applyAlignment="1"/>
    <xf numFmtId="0" fontId="20" fillId="5" borderId="84" xfId="33" applyFill="1" applyBorder="1"/>
    <xf numFmtId="0" fontId="20" fillId="6" borderId="84" xfId="33" applyFill="1" applyBorder="1"/>
    <xf numFmtId="0" fontId="27" fillId="0" borderId="86" xfId="33" applyFont="1" applyFill="1" applyBorder="1" applyAlignment="1"/>
    <xf numFmtId="0" fontId="49" fillId="0" borderId="55" xfId="8" applyFont="1" applyFill="1" applyBorder="1" applyAlignment="1"/>
    <xf numFmtId="0" fontId="42" fillId="0" borderId="55" xfId="8" applyFont="1" applyFill="1" applyBorder="1" applyAlignment="1"/>
    <xf numFmtId="0" fontId="15" fillId="11" borderId="0" xfId="21" quotePrefix="1" applyNumberFormat="1" applyFont="1" applyFill="1" applyBorder="1" applyAlignment="1">
      <alignment horizontal="left" vertical="center"/>
    </xf>
    <xf numFmtId="0" fontId="19" fillId="0" borderId="0" xfId="22" applyFont="1" applyBorder="1" applyAlignment="1"/>
    <xf numFmtId="0" fontId="27" fillId="0" borderId="82" xfId="33" applyFont="1" applyFill="1" applyBorder="1" applyAlignment="1"/>
    <xf numFmtId="0" fontId="0" fillId="0" borderId="48" xfId="0" applyBorder="1" applyAlignment="1">
      <alignment horizontal="center"/>
    </xf>
    <xf numFmtId="0" fontId="1" fillId="0" borderId="47" xfId="14" applyFont="1" applyBorder="1" applyAlignment="1">
      <alignment horizontal="center"/>
    </xf>
    <xf numFmtId="0" fontId="24" fillId="0" borderId="0" xfId="14" applyFont="1" applyBorder="1"/>
    <xf numFmtId="0" fontId="15" fillId="4" borderId="46" xfId="8" applyFont="1" applyFill="1" applyBorder="1" applyAlignment="1"/>
    <xf numFmtId="0" fontId="41" fillId="5" borderId="41" xfId="2" applyNumberFormat="1" applyFont="1" applyFill="1" applyBorder="1" applyAlignment="1" applyProtection="1">
      <alignment horizontal="center" vertical="top" textRotation="90" wrapText="1"/>
    </xf>
    <xf numFmtId="0" fontId="51" fillId="0" borderId="0" xfId="14" applyFont="1" applyAlignment="1">
      <alignment horizontal="right"/>
    </xf>
    <xf numFmtId="0" fontId="32" fillId="4" borderId="0" xfId="8" applyFont="1" applyFill="1" applyAlignment="1"/>
    <xf numFmtId="0" fontId="33" fillId="4" borderId="0" xfId="8" applyFont="1" applyFill="1" applyAlignment="1"/>
    <xf numFmtId="0" fontId="50" fillId="4" borderId="0" xfId="8" applyFont="1" applyFill="1" applyAlignment="1"/>
    <xf numFmtId="0" fontId="52" fillId="4" borderId="0" xfId="8" applyFont="1" applyFill="1" applyAlignment="1"/>
    <xf numFmtId="0" fontId="25" fillId="4" borderId="0" xfId="8" applyFont="1" applyFill="1" applyAlignment="1"/>
    <xf numFmtId="0" fontId="53" fillId="0" borderId="69" xfId="22" applyFont="1" applyFill="1" applyBorder="1" applyAlignment="1">
      <alignment horizontal="right"/>
    </xf>
    <xf numFmtId="0" fontId="53" fillId="0" borderId="0" xfId="0" applyFont="1" applyAlignment="1">
      <alignment horizontal="right"/>
    </xf>
    <xf numFmtId="0" fontId="54" fillId="0" borderId="0" xfId="22" applyFont="1" applyAlignment="1">
      <alignment horizontal="right"/>
    </xf>
    <xf numFmtId="0" fontId="55" fillId="0" borderId="51" xfId="22" applyFont="1" applyBorder="1" applyAlignment="1">
      <alignment horizontal="right"/>
    </xf>
    <xf numFmtId="0" fontId="55" fillId="0" borderId="0" xfId="22" applyFont="1" applyAlignment="1">
      <alignment horizontal="right"/>
    </xf>
    <xf numFmtId="0" fontId="54" fillId="0" borderId="0" xfId="0" applyFont="1" applyAlignment="1">
      <alignment horizontal="right"/>
    </xf>
    <xf numFmtId="0" fontId="56" fillId="0" borderId="54" xfId="0" applyFont="1" applyBorder="1" applyAlignment="1">
      <alignment horizontal="right"/>
    </xf>
    <xf numFmtId="0" fontId="56" fillId="0" borderId="0" xfId="22" applyFont="1" applyAlignment="1">
      <alignment horizontal="right"/>
    </xf>
    <xf numFmtId="0" fontId="23" fillId="0" borderId="113" xfId="21" applyFont="1" applyFill="1" applyBorder="1" applyAlignment="1">
      <alignment vertical="center"/>
    </xf>
    <xf numFmtId="0" fontId="41" fillId="0" borderId="114" xfId="16" applyFont="1" applyFill="1" applyBorder="1" applyAlignment="1">
      <alignment horizontal="center"/>
    </xf>
    <xf numFmtId="0" fontId="38" fillId="0" borderId="114" xfId="16" applyFont="1" applyFill="1" applyBorder="1" applyAlignment="1">
      <alignment horizontal="center"/>
    </xf>
    <xf numFmtId="0" fontId="42" fillId="0" borderId="114" xfId="16" applyFont="1" applyFill="1" applyBorder="1" applyAlignment="1">
      <alignment horizontal="center"/>
    </xf>
    <xf numFmtId="0" fontId="17" fillId="0" borderId="114" xfId="16" applyFont="1" applyFill="1" applyBorder="1" applyAlignment="1">
      <alignment horizontal="center"/>
    </xf>
    <xf numFmtId="0" fontId="1" fillId="5" borderId="114" xfId="16" applyFont="1" applyFill="1" applyBorder="1" applyAlignment="1">
      <alignment horizontal="center"/>
    </xf>
    <xf numFmtId="0" fontId="0" fillId="13" borderId="49" xfId="22" applyFont="1" applyFill="1" applyBorder="1"/>
    <xf numFmtId="0" fontId="0" fillId="13" borderId="71" xfId="22" applyFont="1" applyFill="1" applyBorder="1"/>
    <xf numFmtId="0" fontId="15" fillId="18" borderId="48" xfId="0" applyNumberFormat="1" applyFont="1" applyFill="1" applyBorder="1" applyAlignment="1">
      <alignment horizontal="center" vertical="center"/>
    </xf>
    <xf numFmtId="0" fontId="15" fillId="8" borderId="48" xfId="0" applyNumberFormat="1" applyFont="1" applyFill="1" applyBorder="1" applyAlignment="1">
      <alignment horizontal="center" vertical="center"/>
    </xf>
    <xf numFmtId="20" fontId="15" fillId="11" borderId="0" xfId="21" applyNumberFormat="1" applyFont="1" applyFill="1" applyBorder="1" applyAlignment="1">
      <alignment horizontal="left" vertical="center"/>
    </xf>
    <xf numFmtId="0" fontId="19" fillId="0" borderId="0" xfId="21" applyFont="1" applyFill="1" applyBorder="1" applyAlignment="1">
      <alignment vertical="center"/>
    </xf>
    <xf numFmtId="165" fontId="1" fillId="0" borderId="0" xfId="21" applyNumberFormat="1" applyFont="1" applyFill="1" applyBorder="1" applyAlignment="1">
      <alignment horizontal="right" vertical="center"/>
    </xf>
    <xf numFmtId="0" fontId="15" fillId="0" borderId="0" xfId="21" applyFont="1" applyFill="1" applyBorder="1" applyAlignment="1">
      <alignment vertical="center"/>
    </xf>
    <xf numFmtId="0" fontId="20" fillId="0" borderId="114" xfId="33" applyFill="1" applyBorder="1"/>
    <xf numFmtId="165" fontId="0" fillId="0" borderId="0" xfId="19" applyNumberFormat="1" applyFont="1" applyAlignment="1">
      <alignment horizontal="right"/>
    </xf>
    <xf numFmtId="0" fontId="20" fillId="8" borderId="55" xfId="33" applyFont="1" applyFill="1" applyBorder="1" applyAlignment="1">
      <alignment vertical="center"/>
    </xf>
    <xf numFmtId="0" fontId="0" fillId="0" borderId="48" xfId="22" applyFont="1" applyFill="1" applyBorder="1" applyAlignment="1">
      <alignment wrapText="1"/>
    </xf>
    <xf numFmtId="0" fontId="0" fillId="0" borderId="48" xfId="0" applyFont="1" applyBorder="1" applyAlignment="1">
      <alignment wrapText="1"/>
    </xf>
    <xf numFmtId="0" fontId="1" fillId="0" borderId="0" xfId="25" applyFont="1" applyBorder="1" applyAlignment="1"/>
    <xf numFmtId="1" fontId="1" fillId="4" borderId="0" xfId="8" applyNumberFormat="1" applyFont="1" applyFill="1" applyBorder="1" applyAlignment="1">
      <alignment horizontal="center"/>
    </xf>
    <xf numFmtId="167" fontId="1" fillId="4" borderId="0" xfId="8" applyNumberFormat="1" applyFont="1" applyFill="1" applyBorder="1" applyAlignment="1">
      <alignment horizontal="center"/>
    </xf>
    <xf numFmtId="0" fontId="1" fillId="4" borderId="0" xfId="25" applyFont="1" applyFill="1" applyBorder="1" applyAlignment="1"/>
    <xf numFmtId="0" fontId="0" fillId="0" borderId="4" xfId="8" applyFont="1" applyFill="1" applyBorder="1" applyAlignment="1"/>
    <xf numFmtId="0" fontId="27" fillId="0" borderId="131" xfId="33" applyFont="1" applyFill="1" applyBorder="1" applyAlignment="1"/>
    <xf numFmtId="0" fontId="28" fillId="0" borderId="0" xfId="0" applyFont="1" applyFill="1" applyAlignment="1"/>
    <xf numFmtId="0" fontId="28" fillId="0" borderId="16" xfId="22" applyFont="1" applyFill="1" applyBorder="1" applyAlignment="1"/>
    <xf numFmtId="0" fontId="27" fillId="0" borderId="16" xfId="22" applyFont="1" applyFill="1" applyBorder="1" applyAlignment="1"/>
    <xf numFmtId="0" fontId="28" fillId="0" borderId="0" xfId="33" applyFont="1" applyFill="1" applyBorder="1" applyAlignment="1"/>
    <xf numFmtId="0" fontId="28" fillId="0" borderId="26" xfId="0" applyFont="1" applyFill="1" applyBorder="1" applyAlignment="1"/>
    <xf numFmtId="0" fontId="28" fillId="0" borderId="16" xfId="0" applyFont="1" applyFill="1" applyBorder="1" applyAlignment="1"/>
    <xf numFmtId="0" fontId="0" fillId="0" borderId="0" xfId="21" applyNumberFormat="1" applyFont="1" applyFill="1" applyBorder="1" applyAlignment="1">
      <alignment horizontal="left"/>
    </xf>
    <xf numFmtId="49" fontId="1" fillId="0" borderId="0" xfId="5" applyNumberFormat="1" applyFont="1" applyFill="1" applyBorder="1"/>
    <xf numFmtId="0" fontId="20" fillId="0" borderId="0" xfId="33" applyFill="1" applyBorder="1"/>
    <xf numFmtId="0" fontId="22" fillId="0" borderId="0" xfId="33" applyFont="1" applyFill="1" applyBorder="1" applyAlignment="1"/>
    <xf numFmtId="0" fontId="1" fillId="0" borderId="0" xfId="6" applyFont="1" applyFill="1" applyBorder="1" applyAlignment="1">
      <alignment horizontal="left"/>
    </xf>
    <xf numFmtId="166" fontId="1" fillId="0" borderId="0" xfId="21" applyNumberFormat="1" applyFont="1" applyFill="1" applyBorder="1" applyAlignment="1">
      <alignment horizontal="center"/>
    </xf>
    <xf numFmtId="167" fontId="1" fillId="0" borderId="0" xfId="21" applyNumberFormat="1" applyFont="1" applyFill="1" applyBorder="1" applyAlignment="1">
      <alignment horizontal="center"/>
    </xf>
    <xf numFmtId="0" fontId="57" fillId="0" borderId="0" xfId="33" applyFont="1" applyBorder="1" applyAlignment="1"/>
    <xf numFmtId="0" fontId="18" fillId="0" borderId="0" xfId="22" applyFont="1" applyAlignment="1"/>
    <xf numFmtId="0" fontId="4" fillId="0" borderId="0" xfId="22" applyFont="1" applyAlignment="1"/>
    <xf numFmtId="0" fontId="4" fillId="0" borderId="0" xfId="0" applyFont="1" applyAlignment="1"/>
    <xf numFmtId="0" fontId="4" fillId="0" borderId="0" xfId="33" applyFont="1" applyAlignment="1"/>
    <xf numFmtId="0" fontId="58" fillId="0" borderId="0" xfId="33" applyFont="1" applyFill="1" applyAlignment="1"/>
    <xf numFmtId="0" fontId="18" fillId="4" borderId="5" xfId="22" applyFont="1" applyFill="1" applyBorder="1" applyAlignment="1"/>
    <xf numFmtId="0" fontId="18" fillId="4" borderId="6" xfId="22" applyFont="1" applyFill="1" applyBorder="1" applyAlignment="1"/>
    <xf numFmtId="0" fontId="18" fillId="4" borderId="7" xfId="22" applyFont="1" applyFill="1" applyBorder="1" applyAlignment="1"/>
    <xf numFmtId="0" fontId="18" fillId="9" borderId="0" xfId="14" quotePrefix="1" applyNumberFormat="1" applyFont="1" applyFill="1" applyBorder="1" applyAlignment="1"/>
    <xf numFmtId="0" fontId="18" fillId="9" borderId="0" xfId="14" applyFont="1" applyFill="1" applyBorder="1" applyAlignment="1"/>
    <xf numFmtId="0" fontId="4" fillId="9" borderId="0" xfId="14" applyFont="1" applyFill="1" applyBorder="1" applyAlignment="1"/>
    <xf numFmtId="0" fontId="18" fillId="11" borderId="0" xfId="14" applyFont="1" applyFill="1" applyBorder="1" applyAlignment="1"/>
    <xf numFmtId="0" fontId="4" fillId="0" borderId="0" xfId="14" applyFont="1" applyFill="1" applyBorder="1" applyAlignment="1"/>
    <xf numFmtId="0" fontId="18" fillId="0" borderId="0" xfId="14" applyFont="1" applyFill="1" applyBorder="1" applyAlignment="1"/>
    <xf numFmtId="0" fontId="4" fillId="0" borderId="0" xfId="14" applyFont="1" applyBorder="1" applyAlignment="1"/>
    <xf numFmtId="0" fontId="4" fillId="0" borderId="87" xfId="14" applyFont="1" applyFill="1" applyBorder="1" applyAlignment="1"/>
    <xf numFmtId="0" fontId="18" fillId="10" borderId="88" xfId="14" applyFont="1" applyFill="1" applyBorder="1" applyAlignment="1"/>
    <xf numFmtId="0" fontId="4" fillId="0" borderId="89" xfId="14" applyFont="1" applyFill="1" applyBorder="1" applyAlignment="1"/>
    <xf numFmtId="0" fontId="18" fillId="0" borderId="90" xfId="14" applyFont="1" applyFill="1" applyBorder="1" applyAlignment="1"/>
    <xf numFmtId="0" fontId="18" fillId="10" borderId="34" xfId="14" applyFont="1" applyFill="1" applyBorder="1" applyAlignment="1"/>
    <xf numFmtId="0" fontId="4" fillId="0" borderId="9" xfId="14" applyFont="1" applyFill="1" applyBorder="1" applyAlignment="1"/>
    <xf numFmtId="0" fontId="4" fillId="0" borderId="10" xfId="14" applyFont="1" applyBorder="1" applyAlignment="1"/>
    <xf numFmtId="0" fontId="18" fillId="0" borderId="10" xfId="14" applyFont="1" applyFill="1" applyBorder="1" applyAlignment="1"/>
    <xf numFmtId="0" fontId="18" fillId="0" borderId="11" xfId="14" applyFont="1" applyFill="1" applyBorder="1" applyAlignment="1"/>
    <xf numFmtId="0" fontId="18" fillId="0" borderId="38" xfId="14" applyFont="1" applyFill="1" applyBorder="1" applyAlignment="1"/>
    <xf numFmtId="0" fontId="4" fillId="0" borderId="91" xfId="14" applyFont="1" applyFill="1" applyBorder="1" applyAlignment="1"/>
    <xf numFmtId="0" fontId="4" fillId="0" borderId="92" xfId="14" applyFont="1" applyBorder="1" applyAlignment="1"/>
    <xf numFmtId="0" fontId="4" fillId="0" borderId="66" xfId="14" applyFont="1" applyFill="1" applyBorder="1" applyAlignment="1"/>
    <xf numFmtId="0" fontId="18" fillId="0" borderId="92" xfId="14" applyFont="1" applyFill="1" applyBorder="1" applyAlignment="1"/>
    <xf numFmtId="0" fontId="4" fillId="0" borderId="93" xfId="0" applyFont="1" applyFill="1" applyBorder="1" applyAlignment="1"/>
    <xf numFmtId="0" fontId="18" fillId="0" borderId="68" xfId="14" applyFont="1" applyFill="1" applyBorder="1" applyAlignment="1"/>
    <xf numFmtId="0" fontId="18" fillId="10" borderId="19" xfId="14" applyFont="1" applyFill="1" applyBorder="1" applyAlignment="1"/>
    <xf numFmtId="0" fontId="18" fillId="10" borderId="85" xfId="14" applyFont="1" applyFill="1" applyBorder="1" applyAlignment="1"/>
    <xf numFmtId="0" fontId="18" fillId="10" borderId="20" xfId="14" applyFont="1" applyFill="1" applyBorder="1" applyAlignment="1"/>
    <xf numFmtId="0" fontId="4" fillId="0" borderId="0" xfId="14" applyFont="1" applyFill="1" applyAlignment="1"/>
    <xf numFmtId="0" fontId="4" fillId="0" borderId="0" xfId="14" applyFont="1" applyAlignment="1"/>
    <xf numFmtId="0" fontId="4" fillId="0" borderId="38" xfId="14" applyFont="1" applyBorder="1" applyAlignment="1"/>
    <xf numFmtId="0" fontId="4" fillId="0" borderId="11" xfId="0" applyFont="1" applyFill="1" applyBorder="1" applyAlignment="1"/>
    <xf numFmtId="0" fontId="4" fillId="0" borderId="95" xfId="14" applyFont="1" applyFill="1" applyBorder="1" applyAlignment="1"/>
    <xf numFmtId="0" fontId="18" fillId="10" borderId="99" xfId="14" applyFont="1" applyFill="1" applyBorder="1" applyAlignment="1"/>
    <xf numFmtId="0" fontId="4" fillId="0" borderId="128" xfId="14" applyFont="1" applyFill="1" applyBorder="1" applyAlignment="1"/>
    <xf numFmtId="0" fontId="18" fillId="10" borderId="111" xfId="14" applyFont="1" applyFill="1" applyBorder="1" applyAlignment="1"/>
    <xf numFmtId="0" fontId="18" fillId="0" borderId="15" xfId="14" applyFont="1" applyFill="1" applyBorder="1" applyAlignment="1"/>
    <xf numFmtId="0" fontId="18" fillId="10" borderId="129" xfId="14" applyFont="1" applyFill="1" applyBorder="1" applyAlignment="1"/>
    <xf numFmtId="0" fontId="4" fillId="0" borderId="105" xfId="14" applyFont="1" applyFill="1" applyBorder="1" applyAlignment="1"/>
    <xf numFmtId="0" fontId="4" fillId="0" borderId="107" xfId="14" applyFont="1" applyBorder="1" applyAlignment="1"/>
    <xf numFmtId="0" fontId="18" fillId="0" borderId="109" xfId="14" applyFont="1" applyFill="1" applyBorder="1" applyAlignment="1"/>
    <xf numFmtId="0" fontId="4" fillId="0" borderId="107" xfId="14" applyFont="1" applyFill="1" applyBorder="1" applyAlignment="1"/>
    <xf numFmtId="0" fontId="4" fillId="0" borderId="130" xfId="0" applyFont="1" applyFill="1" applyBorder="1" applyAlignment="1"/>
    <xf numFmtId="0" fontId="18" fillId="0" borderId="107" xfId="14" applyFont="1" applyFill="1" applyBorder="1" applyAlignment="1"/>
    <xf numFmtId="49" fontId="18" fillId="9" borderId="8" xfId="5" applyNumberFormat="1" applyFont="1" applyFill="1" applyBorder="1" applyAlignment="1"/>
    <xf numFmtId="0" fontId="18" fillId="9" borderId="8" xfId="22" applyFont="1" applyFill="1" applyBorder="1" applyAlignment="1"/>
    <xf numFmtId="0" fontId="4" fillId="9" borderId="8" xfId="22" applyFont="1" applyFill="1" applyBorder="1" applyAlignment="1"/>
    <xf numFmtId="0" fontId="4" fillId="11" borderId="8" xfId="22" applyFont="1" applyFill="1" applyBorder="1" applyAlignment="1"/>
    <xf numFmtId="0" fontId="18" fillId="0" borderId="8" xfId="22" applyFont="1" applyBorder="1" applyAlignment="1"/>
    <xf numFmtId="0" fontId="4" fillId="0" borderId="8" xfId="22" applyFont="1" applyBorder="1" applyAlignment="1"/>
    <xf numFmtId="0" fontId="4" fillId="0" borderId="0" xfId="22" applyFont="1" applyFill="1" applyAlignment="1"/>
    <xf numFmtId="0" fontId="18" fillId="10" borderId="14" xfId="14" applyFont="1" applyFill="1" applyBorder="1" applyAlignment="1"/>
    <xf numFmtId="0" fontId="4" fillId="0" borderId="15" xfId="14" applyFont="1" applyFill="1" applyBorder="1" applyAlignment="1"/>
    <xf numFmtId="0" fontId="18" fillId="10" borderId="12" xfId="14" applyFont="1" applyFill="1" applyBorder="1" applyAlignment="1"/>
    <xf numFmtId="0" fontId="4" fillId="0" borderId="13" xfId="14" applyFont="1" applyFill="1" applyBorder="1" applyAlignment="1"/>
    <xf numFmtId="0" fontId="18" fillId="10" borderId="67" xfId="14" applyFont="1" applyFill="1" applyBorder="1" applyAlignment="1"/>
    <xf numFmtId="0" fontId="4" fillId="0" borderId="8" xfId="14" applyFont="1" applyFill="1" applyBorder="1" applyAlignment="1"/>
    <xf numFmtId="0" fontId="18" fillId="10" borderId="96" xfId="14" applyFont="1" applyFill="1" applyBorder="1" applyAlignment="1"/>
    <xf numFmtId="0" fontId="4" fillId="0" borderId="57" xfId="14" applyFont="1" applyFill="1" applyBorder="1" applyAlignment="1"/>
    <xf numFmtId="0" fontId="4" fillId="0" borderId="97" xfId="14" applyFont="1" applyBorder="1" applyAlignment="1"/>
    <xf numFmtId="0" fontId="18" fillId="10" borderId="98" xfId="14" applyFont="1" applyFill="1" applyBorder="1" applyAlignment="1"/>
    <xf numFmtId="0" fontId="4" fillId="0" borderId="21" xfId="14" applyFont="1" applyFill="1" applyBorder="1" applyAlignment="1"/>
    <xf numFmtId="0" fontId="4" fillId="0" borderId="16" xfId="14" applyFont="1" applyFill="1" applyBorder="1" applyAlignment="1"/>
    <xf numFmtId="0" fontId="18" fillId="0" borderId="56" xfId="14" applyFont="1" applyFill="1" applyBorder="1" applyAlignment="1"/>
    <xf numFmtId="0" fontId="18" fillId="0" borderId="58" xfId="14" applyFont="1" applyFill="1" applyBorder="1" applyAlignment="1"/>
    <xf numFmtId="0" fontId="4" fillId="0" borderId="18" xfId="14" applyFont="1" applyBorder="1" applyAlignment="1"/>
    <xf numFmtId="0" fontId="18" fillId="0" borderId="18" xfId="14" applyFont="1" applyFill="1" applyBorder="1" applyAlignment="1"/>
    <xf numFmtId="0" fontId="4" fillId="0" borderId="120" xfId="22" applyFont="1" applyFill="1" applyBorder="1" applyAlignment="1"/>
    <xf numFmtId="0" fontId="18" fillId="10" borderId="121" xfId="22" applyFont="1" applyFill="1" applyBorder="1" applyAlignment="1"/>
    <xf numFmtId="0" fontId="4" fillId="0" borderId="8" xfId="22" applyFont="1" applyFill="1" applyBorder="1" applyAlignment="1"/>
    <xf numFmtId="0" fontId="4" fillId="0" borderId="122" xfId="22" applyFont="1" applyBorder="1" applyAlignment="1"/>
    <xf numFmtId="0" fontId="18" fillId="0" borderId="122" xfId="22" applyFont="1" applyBorder="1" applyAlignment="1"/>
    <xf numFmtId="0" fontId="18" fillId="10" borderId="123" xfId="14" applyFont="1" applyFill="1" applyBorder="1" applyAlignment="1"/>
    <xf numFmtId="0" fontId="18" fillId="10" borderId="121" xfId="14" applyFont="1" applyFill="1" applyBorder="1" applyAlignment="1"/>
    <xf numFmtId="0" fontId="18" fillId="10" borderId="124" xfId="14" applyFont="1" applyFill="1" applyBorder="1" applyAlignment="1"/>
    <xf numFmtId="0" fontId="18" fillId="0" borderId="0" xfId="22" applyFont="1" applyFill="1" applyAlignment="1"/>
    <xf numFmtId="0" fontId="4" fillId="0" borderId="21" xfId="22" applyFont="1" applyFill="1" applyBorder="1" applyAlignment="1"/>
    <xf numFmtId="0" fontId="18" fillId="0" borderId="22" xfId="22" applyFont="1" applyFill="1" applyBorder="1" applyAlignment="1"/>
    <xf numFmtId="0" fontId="4" fillId="0" borderId="16" xfId="22" applyFont="1" applyBorder="1" applyAlignment="1"/>
    <xf numFmtId="0" fontId="18" fillId="0" borderId="22" xfId="22" applyFont="1" applyBorder="1" applyAlignment="1"/>
    <xf numFmtId="0" fontId="18" fillId="0" borderId="16" xfId="22" applyFont="1" applyBorder="1" applyAlignment="1"/>
    <xf numFmtId="0" fontId="18" fillId="17" borderId="10" xfId="14" applyFont="1" applyFill="1" applyBorder="1" applyAlignment="1"/>
    <xf numFmtId="0" fontId="18" fillId="0" borderId="0" xfId="22" applyFont="1" applyBorder="1" applyAlignment="1"/>
    <xf numFmtId="0" fontId="4" fillId="0" borderId="22" xfId="14" applyFont="1" applyFill="1" applyBorder="1" applyAlignment="1"/>
    <xf numFmtId="0" fontId="18" fillId="0" borderId="35" xfId="14" applyFont="1" applyFill="1" applyBorder="1" applyAlignment="1"/>
    <xf numFmtId="0" fontId="4" fillId="0" borderId="100" xfId="22" applyFont="1" applyFill="1" applyBorder="1" applyAlignment="1"/>
    <xf numFmtId="0" fontId="18" fillId="10" borderId="101" xfId="22" applyFont="1" applyFill="1" applyBorder="1" applyAlignment="1"/>
    <xf numFmtId="0" fontId="4" fillId="0" borderId="102" xfId="22" applyFont="1" applyFill="1" applyBorder="1" applyAlignment="1"/>
    <xf numFmtId="0" fontId="4" fillId="0" borderId="103" xfId="22" applyFont="1" applyBorder="1" applyAlignment="1"/>
    <xf numFmtId="0" fontId="18" fillId="0" borderId="103" xfId="22" applyFont="1" applyBorder="1" applyAlignment="1"/>
    <xf numFmtId="0" fontId="18" fillId="10" borderId="104" xfId="22" applyFont="1" applyFill="1" applyBorder="1" applyAlignment="1"/>
    <xf numFmtId="0" fontId="18" fillId="17" borderId="22" xfId="22" applyFont="1" applyFill="1" applyBorder="1" applyAlignment="1"/>
    <xf numFmtId="0" fontId="4" fillId="0" borderId="105" xfId="22" applyFont="1" applyFill="1" applyBorder="1" applyAlignment="1"/>
    <xf numFmtId="0" fontId="18" fillId="0" borderId="106" xfId="22" applyFont="1" applyFill="1" applyBorder="1" applyAlignment="1"/>
    <xf numFmtId="0" fontId="4" fillId="0" borderId="107" xfId="22" applyFont="1" applyBorder="1" applyAlignment="1"/>
    <xf numFmtId="0" fontId="4" fillId="0" borderId="108" xfId="22" applyFont="1" applyBorder="1" applyAlignment="1"/>
    <xf numFmtId="0" fontId="18" fillId="0" borderId="106" xfId="22" applyFont="1" applyBorder="1" applyAlignment="1"/>
    <xf numFmtId="0" fontId="18" fillId="0" borderId="108" xfId="22" applyFont="1" applyBorder="1" applyAlignment="1"/>
    <xf numFmtId="0" fontId="18" fillId="17" borderId="109" xfId="14" applyFont="1" applyFill="1" applyBorder="1" applyAlignment="1"/>
    <xf numFmtId="0" fontId="4" fillId="0" borderId="110" xfId="5" applyFont="1" applyFill="1" applyBorder="1" applyAlignment="1"/>
    <xf numFmtId="0" fontId="18" fillId="10" borderId="62" xfId="5" applyFont="1" applyFill="1" applyBorder="1" applyAlignment="1"/>
    <xf numFmtId="0" fontId="4" fillId="0" borderId="60" xfId="5" applyFont="1" applyFill="1" applyBorder="1" applyAlignment="1"/>
    <xf numFmtId="0" fontId="18" fillId="10" borderId="111" xfId="5" applyFont="1" applyFill="1" applyBorder="1" applyAlignment="1"/>
    <xf numFmtId="0" fontId="18" fillId="10" borderId="112" xfId="5" applyFont="1" applyFill="1" applyBorder="1" applyAlignment="1"/>
    <xf numFmtId="0" fontId="18" fillId="10" borderId="61" xfId="5" applyFont="1" applyFill="1" applyBorder="1" applyAlignment="1"/>
    <xf numFmtId="0" fontId="18" fillId="10" borderId="63" xfId="5" applyFont="1" applyFill="1" applyBorder="1" applyAlignment="1"/>
    <xf numFmtId="0" fontId="4" fillId="0" borderId="21" xfId="5" applyFont="1" applyFill="1" applyBorder="1" applyAlignment="1"/>
    <xf numFmtId="0" fontId="18" fillId="0" borderId="38" xfId="5" applyFont="1" applyFill="1" applyBorder="1" applyAlignment="1"/>
    <xf numFmtId="0" fontId="4" fillId="0" borderId="0" xfId="5" applyFont="1" applyFill="1" applyBorder="1" applyAlignment="1"/>
    <xf numFmtId="0" fontId="18" fillId="0" borderId="0" xfId="5" applyFont="1" applyFill="1" applyBorder="1" applyAlignment="1"/>
    <xf numFmtId="0" fontId="18" fillId="17" borderId="0" xfId="5" applyFont="1" applyFill="1" applyBorder="1" applyAlignment="1"/>
    <xf numFmtId="0" fontId="18" fillId="0" borderId="18" xfId="5" applyFont="1" applyFill="1" applyBorder="1" applyAlignment="1"/>
    <xf numFmtId="0" fontId="18" fillId="11" borderId="8" xfId="14" applyFont="1" applyFill="1" applyBorder="1" applyAlignment="1"/>
    <xf numFmtId="0" fontId="18" fillId="0" borderId="8" xfId="14" applyFont="1" applyFill="1" applyBorder="1" applyAlignment="1"/>
    <xf numFmtId="0" fontId="18" fillId="0" borderId="8" xfId="14" applyFont="1" applyBorder="1" applyAlignment="1"/>
    <xf numFmtId="0" fontId="4" fillId="0" borderId="131" xfId="22" applyFont="1" applyFill="1" applyBorder="1" applyAlignment="1"/>
    <xf numFmtId="0" fontId="18" fillId="10" borderId="132" xfId="22" applyFont="1" applyFill="1" applyBorder="1" applyAlignment="1"/>
    <xf numFmtId="0" fontId="4" fillId="0" borderId="133" xfId="22" applyFont="1" applyFill="1" applyBorder="1" applyAlignment="1"/>
    <xf numFmtId="0" fontId="18" fillId="10" borderId="138" xfId="22" applyFont="1" applyFill="1" applyBorder="1" applyAlignment="1"/>
    <xf numFmtId="0" fontId="18" fillId="10" borderId="59" xfId="22" applyFont="1" applyFill="1" applyBorder="1" applyAlignment="1"/>
    <xf numFmtId="0" fontId="4" fillId="0" borderId="25" xfId="22" applyFont="1" applyFill="1" applyBorder="1" applyAlignment="1"/>
    <xf numFmtId="0" fontId="18" fillId="10" borderId="27" xfId="22" applyFont="1" applyFill="1" applyBorder="1" applyAlignment="1"/>
    <xf numFmtId="0" fontId="18" fillId="10" borderId="39" xfId="5" applyFont="1" applyFill="1" applyBorder="1" applyAlignment="1"/>
    <xf numFmtId="0" fontId="18" fillId="10" borderId="135" xfId="5" applyFont="1" applyFill="1" applyBorder="1" applyAlignment="1"/>
    <xf numFmtId="0" fontId="18" fillId="0" borderId="140" xfId="14" applyFont="1" applyFill="1" applyBorder="1" applyAlignment="1"/>
    <xf numFmtId="0" fontId="18" fillId="10" borderId="59" xfId="5" applyFont="1" applyFill="1" applyBorder="1" applyAlignment="1"/>
    <xf numFmtId="0" fontId="4" fillId="0" borderId="16" xfId="22" applyFont="1" applyFill="1" applyBorder="1" applyAlignment="1"/>
    <xf numFmtId="0" fontId="18" fillId="0" borderId="17" xfId="22" applyFont="1" applyFill="1" applyBorder="1" applyAlignment="1"/>
    <xf numFmtId="0" fontId="18" fillId="0" borderId="0" xfId="22" applyFont="1" applyFill="1" applyBorder="1" applyAlignment="1"/>
    <xf numFmtId="0" fontId="18" fillId="8" borderId="38" xfId="5" applyFont="1" applyFill="1" applyBorder="1" applyAlignment="1"/>
    <xf numFmtId="0" fontId="4" fillId="0" borderId="28" xfId="22" applyFont="1" applyFill="1" applyBorder="1" applyAlignment="1"/>
    <xf numFmtId="0" fontId="18" fillId="0" borderId="29" xfId="22" applyFont="1" applyFill="1" applyBorder="1" applyAlignment="1"/>
    <xf numFmtId="0" fontId="4" fillId="0" borderId="30" xfId="22" applyFont="1" applyFill="1" applyBorder="1" applyAlignment="1"/>
    <xf numFmtId="0" fontId="18" fillId="0" borderId="37" xfId="22" applyFont="1" applyFill="1" applyBorder="1" applyAlignment="1"/>
    <xf numFmtId="0" fontId="4" fillId="0" borderId="139" xfId="22" applyFont="1" applyFill="1" applyBorder="1" applyAlignment="1"/>
    <xf numFmtId="0" fontId="18" fillId="0" borderId="125" xfId="22" applyFont="1" applyBorder="1" applyAlignment="1"/>
    <xf numFmtId="0" fontId="18" fillId="0" borderId="126" xfId="22" applyFont="1" applyBorder="1" applyAlignment="1"/>
    <xf numFmtId="0" fontId="18" fillId="0" borderId="127" xfId="22" applyFont="1" applyFill="1" applyBorder="1" applyAlignment="1"/>
    <xf numFmtId="0" fontId="4" fillId="0" borderId="136" xfId="0" applyFont="1" applyFill="1" applyBorder="1" applyAlignment="1"/>
    <xf numFmtId="0" fontId="18" fillId="0" borderId="134" xfId="5" applyFont="1" applyFill="1" applyBorder="1" applyAlignment="1"/>
    <xf numFmtId="0" fontId="18" fillId="8" borderId="134" xfId="5" applyFont="1" applyFill="1" applyBorder="1" applyAlignment="1"/>
    <xf numFmtId="0" fontId="4" fillId="0" borderId="31" xfId="14" applyFont="1" applyFill="1" applyBorder="1" applyAlignment="1"/>
    <xf numFmtId="0" fontId="18" fillId="10" borderId="32" xfId="14" applyFont="1" applyFill="1" applyBorder="1" applyAlignment="1"/>
    <xf numFmtId="0" fontId="4" fillId="0" borderId="33" xfId="14" applyFont="1" applyFill="1" applyBorder="1" applyAlignment="1"/>
    <xf numFmtId="0" fontId="18" fillId="0" borderId="16" xfId="0" applyFont="1" applyFill="1" applyBorder="1" applyAlignment="1"/>
    <xf numFmtId="0" fontId="18" fillId="0" borderId="22" xfId="14" applyFont="1" applyFill="1" applyBorder="1" applyAlignment="1"/>
    <xf numFmtId="0" fontId="4" fillId="0" borderId="18" xfId="22" applyFont="1" applyBorder="1" applyAlignment="1"/>
    <xf numFmtId="0" fontId="18" fillId="5" borderId="22" xfId="22" applyFont="1" applyFill="1" applyBorder="1" applyAlignment="1"/>
    <xf numFmtId="0" fontId="18" fillId="0" borderId="0" xfId="0" applyFont="1" applyFill="1" applyBorder="1" applyAlignment="1"/>
    <xf numFmtId="0" fontId="4" fillId="0" borderId="25" xfId="14" applyFont="1" applyFill="1" applyBorder="1" applyAlignment="1"/>
    <xf numFmtId="0" fontId="18" fillId="10" borderId="59" xfId="14" applyFont="1" applyFill="1" applyBorder="1" applyAlignment="1"/>
    <xf numFmtId="0" fontId="4" fillId="0" borderId="24" xfId="14" applyFont="1" applyFill="1" applyBorder="1" applyAlignment="1"/>
    <xf numFmtId="0" fontId="18" fillId="0" borderId="24" xfId="14" applyFont="1" applyFill="1" applyBorder="1" applyAlignment="1"/>
    <xf numFmtId="0" fontId="18" fillId="5" borderId="22" xfId="14" applyFont="1" applyFill="1" applyBorder="1" applyAlignment="1"/>
    <xf numFmtId="0" fontId="4" fillId="0" borderId="75" xfId="14" applyFont="1" applyFill="1" applyBorder="1" applyAlignment="1"/>
    <xf numFmtId="0" fontId="18" fillId="0" borderId="94" xfId="14" applyFont="1" applyFill="1" applyBorder="1" applyAlignment="1"/>
    <xf numFmtId="0" fontId="4" fillId="0" borderId="76" xfId="14" applyFont="1" applyFill="1" applyBorder="1" applyAlignment="1"/>
    <xf numFmtId="0" fontId="18" fillId="0" borderId="76" xfId="14" applyFont="1" applyFill="1" applyBorder="1" applyAlignment="1"/>
    <xf numFmtId="0" fontId="18" fillId="0" borderId="94" xfId="22" applyFont="1" applyFill="1" applyBorder="1" applyAlignment="1"/>
    <xf numFmtId="0" fontId="18" fillId="5" borderId="125" xfId="14" applyFont="1" applyFill="1" applyBorder="1" applyAlignment="1"/>
    <xf numFmtId="0" fontId="18" fillId="10" borderId="27" xfId="14" applyFont="1" applyFill="1" applyBorder="1" applyAlignment="1"/>
    <xf numFmtId="0" fontId="18" fillId="6" borderId="22" xfId="14" applyFont="1" applyFill="1" applyBorder="1" applyAlignment="1"/>
    <xf numFmtId="0" fontId="4" fillId="0" borderId="75" xfId="2" applyFont="1" applyFill="1" applyBorder="1" applyAlignment="1"/>
    <xf numFmtId="0" fontId="18" fillId="6" borderId="94" xfId="14" applyFont="1" applyFill="1" applyBorder="1" applyAlignment="1"/>
    <xf numFmtId="0" fontId="4" fillId="0" borderId="126" xfId="14" applyFont="1" applyFill="1" applyBorder="1" applyAlignment="1"/>
    <xf numFmtId="0" fontId="18" fillId="0" borderId="125" xfId="22" applyFont="1" applyFill="1" applyBorder="1" applyAlignment="1"/>
    <xf numFmtId="0" fontId="18" fillId="0" borderId="109" xfId="5" applyFont="1" applyFill="1" applyBorder="1" applyAlignment="1"/>
    <xf numFmtId="0" fontId="18" fillId="10" borderId="135" xfId="14" applyFont="1" applyFill="1" applyBorder="1" applyAlignment="1"/>
    <xf numFmtId="0" fontId="4" fillId="0" borderId="131" xfId="14" applyFont="1" applyFill="1" applyBorder="1" applyAlignment="1"/>
    <xf numFmtId="0" fontId="4" fillId="0" borderId="25" xfId="33" applyFont="1" applyFill="1" applyBorder="1" applyAlignment="1"/>
    <xf numFmtId="0" fontId="4" fillId="0" borderId="148" xfId="22" applyFont="1" applyBorder="1" applyAlignment="1"/>
    <xf numFmtId="0" fontId="4" fillId="0" borderId="149" xfId="22" applyFont="1" applyBorder="1" applyAlignment="1"/>
    <xf numFmtId="0" fontId="18" fillId="0" borderId="127" xfId="14" applyFont="1" applyFill="1" applyBorder="1" applyAlignment="1"/>
    <xf numFmtId="0" fontId="4" fillId="0" borderId="126" xfId="22" applyFont="1" applyFill="1" applyBorder="1" applyAlignment="1"/>
    <xf numFmtId="0" fontId="4" fillId="0" borderId="148" xfId="14" applyFont="1" applyFill="1" applyBorder="1" applyAlignment="1"/>
    <xf numFmtId="49" fontId="18" fillId="9" borderId="0" xfId="5" applyNumberFormat="1" applyFont="1" applyFill="1" applyAlignment="1"/>
    <xf numFmtId="0" fontId="18" fillId="9" borderId="0" xfId="22" applyFont="1" applyFill="1" applyBorder="1" applyAlignment="1"/>
    <xf numFmtId="0" fontId="4" fillId="9" borderId="0" xfId="22" applyFont="1" applyFill="1" applyBorder="1" applyAlignment="1"/>
    <xf numFmtId="0" fontId="18" fillId="11" borderId="0" xfId="22" applyFont="1" applyFill="1" applyBorder="1" applyAlignment="1"/>
    <xf numFmtId="0" fontId="4" fillId="0" borderId="0" xfId="22" applyFont="1" applyBorder="1" applyAlignment="1"/>
    <xf numFmtId="0" fontId="4" fillId="0" borderId="149" xfId="22" applyFont="1" applyFill="1" applyBorder="1" applyAlignment="1"/>
    <xf numFmtId="0" fontId="4" fillId="0" borderId="139" xfId="14" applyFont="1" applyFill="1" applyBorder="1" applyAlignment="1"/>
    <xf numFmtId="0" fontId="18" fillId="0" borderId="131" xfId="22" applyFont="1" applyBorder="1" applyAlignment="1"/>
    <xf numFmtId="0" fontId="18" fillId="0" borderId="133" xfId="22" applyFont="1" applyBorder="1" applyAlignment="1"/>
    <xf numFmtId="0" fontId="18" fillId="10" borderId="19" xfId="22" applyFont="1" applyFill="1" applyBorder="1" applyAlignment="1"/>
    <xf numFmtId="0" fontId="18" fillId="0" borderId="16" xfId="22" applyFont="1" applyFill="1" applyBorder="1" applyAlignment="1"/>
    <xf numFmtId="0" fontId="4" fillId="0" borderId="0" xfId="0" applyFont="1" applyFill="1" applyAlignment="1"/>
    <xf numFmtId="0" fontId="4" fillId="0" borderId="131" xfId="22" applyFont="1" applyBorder="1" applyAlignment="1"/>
    <xf numFmtId="0" fontId="18" fillId="10" borderId="137" xfId="22" applyFont="1" applyFill="1" applyBorder="1" applyAlignment="1"/>
    <xf numFmtId="0" fontId="58" fillId="0" borderId="131" xfId="33" applyFont="1" applyFill="1" applyBorder="1" applyAlignment="1"/>
    <xf numFmtId="0" fontId="18" fillId="10" borderId="22" xfId="22" applyFont="1" applyFill="1" applyBorder="1" applyAlignment="1"/>
    <xf numFmtId="0" fontId="18" fillId="10" borderId="18" xfId="22" applyFont="1" applyFill="1" applyBorder="1" applyAlignment="1"/>
    <xf numFmtId="0" fontId="18" fillId="8" borderId="22" xfId="22" applyFont="1" applyFill="1" applyBorder="1" applyAlignment="1"/>
    <xf numFmtId="0" fontId="4" fillId="0" borderId="127" xfId="22" applyFont="1" applyFill="1" applyBorder="1" applyAlignment="1"/>
    <xf numFmtId="0" fontId="18" fillId="0" borderId="126" xfId="22" applyFont="1" applyFill="1" applyBorder="1" applyAlignment="1"/>
    <xf numFmtId="0" fontId="18" fillId="0" borderId="134" xfId="22" applyFont="1" applyFill="1" applyBorder="1" applyAlignment="1"/>
    <xf numFmtId="0" fontId="58" fillId="0" borderId="21" xfId="33" applyFont="1" applyBorder="1" applyAlignment="1"/>
    <xf numFmtId="0" fontId="18" fillId="8" borderId="125" xfId="22" applyFont="1" applyFill="1" applyBorder="1" applyAlignment="1"/>
    <xf numFmtId="0" fontId="18" fillId="10" borderId="135" xfId="22" applyFont="1" applyFill="1" applyBorder="1" applyAlignment="1"/>
    <xf numFmtId="0" fontId="4" fillId="0" borderId="131" xfId="33" applyFont="1" applyFill="1" applyBorder="1" applyAlignment="1"/>
    <xf numFmtId="0" fontId="4" fillId="0" borderId="22" xfId="1" applyFont="1" applyFill="1" applyBorder="1" applyAlignment="1"/>
    <xf numFmtId="0" fontId="4" fillId="0" borderId="126" xfId="22" applyFont="1" applyBorder="1" applyAlignment="1"/>
    <xf numFmtId="0" fontId="18" fillId="0" borderId="127" xfId="22" applyFont="1" applyBorder="1" applyAlignment="1"/>
    <xf numFmtId="0" fontId="4" fillId="0" borderId="126" xfId="33" applyFont="1" applyFill="1" applyBorder="1" applyAlignment="1"/>
    <xf numFmtId="0" fontId="18" fillId="10" borderId="85" xfId="22" applyFont="1" applyFill="1" applyBorder="1" applyAlignment="1"/>
    <xf numFmtId="0" fontId="18" fillId="5" borderId="125" xfId="22" applyFont="1" applyFill="1" applyBorder="1" applyAlignment="1"/>
    <xf numFmtId="0" fontId="4" fillId="0" borderId="0" xfId="33" applyFont="1" applyFill="1" applyBorder="1" applyAlignment="1"/>
    <xf numFmtId="0" fontId="18" fillId="0" borderId="25" xfId="22" applyFont="1" applyFill="1" applyBorder="1" applyAlignment="1"/>
    <xf numFmtId="0" fontId="18" fillId="10" borderId="36" xfId="22" applyFont="1" applyFill="1" applyBorder="1" applyAlignment="1"/>
    <xf numFmtId="0" fontId="18" fillId="0" borderId="131" xfId="22" applyFont="1" applyFill="1" applyBorder="1" applyAlignment="1"/>
    <xf numFmtId="0" fontId="58" fillId="0" borderId="16" xfId="14" applyFont="1" applyFill="1" applyBorder="1" applyAlignment="1"/>
    <xf numFmtId="0" fontId="18" fillId="0" borderId="75" xfId="22" applyFont="1" applyFill="1" applyBorder="1" applyAlignment="1"/>
    <xf numFmtId="0" fontId="4" fillId="0" borderId="94" xfId="22" applyFont="1" applyFill="1" applyBorder="1" applyAlignment="1">
      <alignment horizontal="right"/>
    </xf>
    <xf numFmtId="0" fontId="4" fillId="0" borderId="75" xfId="22" applyFont="1" applyFill="1" applyBorder="1" applyAlignment="1"/>
    <xf numFmtId="0" fontId="58" fillId="0" borderId="26" xfId="33" applyFont="1" applyFill="1" applyBorder="1" applyAlignment="1"/>
    <xf numFmtId="0" fontId="58" fillId="0" borderId="16" xfId="22" applyFont="1" applyFill="1" applyBorder="1" applyAlignment="1"/>
    <xf numFmtId="0" fontId="4" fillId="0" borderId="16" xfId="0" applyFont="1" applyBorder="1" applyAlignment="1"/>
    <xf numFmtId="0" fontId="58" fillId="0" borderId="126" xfId="33" applyFont="1" applyFill="1" applyBorder="1" applyAlignment="1"/>
    <xf numFmtId="0" fontId="4" fillId="0" borderId="127" xfId="33" applyFont="1" applyFill="1" applyBorder="1" applyAlignment="1"/>
    <xf numFmtId="49" fontId="18" fillId="9" borderId="0" xfId="5" applyNumberFormat="1" applyFont="1" applyFill="1" applyBorder="1" applyAlignment="1"/>
    <xf numFmtId="0" fontId="4" fillId="0" borderId="133" xfId="14" applyFont="1" applyFill="1" applyBorder="1" applyAlignment="1"/>
    <xf numFmtId="0" fontId="18" fillId="10" borderId="23" xfId="22" applyFont="1" applyFill="1" applyBorder="1" applyAlignment="1"/>
    <xf numFmtId="0" fontId="18" fillId="0" borderId="125" xfId="14" applyFont="1" applyFill="1" applyBorder="1" applyAlignment="1"/>
    <xf numFmtId="0" fontId="58" fillId="0" borderId="16" xfId="33" applyFont="1" applyBorder="1" applyAlignment="1"/>
    <xf numFmtId="0" fontId="18" fillId="0" borderId="72" xfId="14" applyFont="1" applyFill="1" applyBorder="1" applyAlignment="1"/>
    <xf numFmtId="0" fontId="18" fillId="0" borderId="83" xfId="14" applyFont="1" applyFill="1" applyBorder="1" applyAlignment="1"/>
    <xf numFmtId="0" fontId="58" fillId="0" borderId="0" xfId="33" applyFont="1" applyBorder="1" applyAlignment="1"/>
    <xf numFmtId="0" fontId="4" fillId="0" borderId="24" xfId="22" applyFont="1" applyFill="1" applyBorder="1" applyAlignment="1"/>
    <xf numFmtId="0" fontId="18" fillId="0" borderId="24" xfId="22" applyFont="1" applyFill="1" applyBorder="1" applyAlignment="1"/>
    <xf numFmtId="0" fontId="18" fillId="0" borderId="151" xfId="22" applyFont="1" applyFill="1" applyBorder="1" applyAlignment="1"/>
    <xf numFmtId="0" fontId="18" fillId="0" borderId="72" xfId="22" applyFont="1" applyFill="1" applyBorder="1" applyAlignment="1"/>
    <xf numFmtId="0" fontId="18" fillId="0" borderId="86" xfId="22" applyFont="1" applyFill="1" applyBorder="1" applyAlignment="1"/>
    <xf numFmtId="0" fontId="18" fillId="0" borderId="83" xfId="22" applyFont="1" applyFill="1" applyBorder="1" applyAlignment="1"/>
    <xf numFmtId="0" fontId="18" fillId="11" borderId="8" xfId="22" applyFont="1" applyFill="1" applyBorder="1" applyAlignment="1"/>
    <xf numFmtId="0" fontId="18" fillId="0" borderId="8" xfId="22" applyFont="1" applyFill="1" applyBorder="1" applyAlignment="1"/>
    <xf numFmtId="0" fontId="18" fillId="0" borderId="133" xfId="22" applyFont="1" applyFill="1" applyBorder="1" applyAlignment="1"/>
    <xf numFmtId="0" fontId="4" fillId="0" borderId="147" xfId="0" applyFont="1" applyBorder="1" applyAlignment="1"/>
    <xf numFmtId="0" fontId="4" fillId="0" borderId="21" xfId="0" applyFont="1" applyBorder="1" applyAlignment="1"/>
    <xf numFmtId="0" fontId="4" fillId="0" borderId="141" xfId="22" applyFont="1" applyFill="1" applyBorder="1" applyAlignment="1"/>
    <xf numFmtId="0" fontId="18" fillId="0" borderId="38" xfId="22" applyFont="1" applyFill="1" applyBorder="1" applyAlignment="1"/>
    <xf numFmtId="0" fontId="4" fillId="0" borderId="0" xfId="0" applyFont="1" applyFill="1" applyBorder="1" applyAlignment="1"/>
    <xf numFmtId="0" fontId="18" fillId="0" borderId="152" xfId="22" applyFont="1" applyFill="1" applyBorder="1" applyAlignment="1"/>
    <xf numFmtId="0" fontId="4" fillId="0" borderId="64" xfId="22" applyFont="1" applyFill="1" applyBorder="1" applyAlignment="1"/>
    <xf numFmtId="0" fontId="18" fillId="0" borderId="76" xfId="22" applyFont="1" applyFill="1" applyBorder="1" applyAlignment="1"/>
    <xf numFmtId="0" fontId="18" fillId="0" borderId="65" xfId="22" applyFont="1" applyFill="1" applyBorder="1" applyAlignment="1"/>
    <xf numFmtId="0" fontId="4" fillId="0" borderId="76" xfId="22" applyFont="1" applyFill="1" applyBorder="1" applyAlignment="1"/>
    <xf numFmtId="0" fontId="4" fillId="0" borderId="22" xfId="22" applyFont="1" applyBorder="1" applyAlignment="1"/>
    <xf numFmtId="0" fontId="4" fillId="0" borderId="125" xfId="22" applyFont="1" applyBorder="1" applyAlignment="1"/>
    <xf numFmtId="0" fontId="4" fillId="0" borderId="131" xfId="5" applyFont="1" applyFill="1" applyBorder="1" applyAlignment="1"/>
    <xf numFmtId="0" fontId="4" fillId="0" borderId="143" xfId="5" applyFont="1" applyFill="1" applyBorder="1" applyAlignment="1"/>
    <xf numFmtId="0" fontId="18" fillId="10" borderId="144" xfId="5" applyFont="1" applyFill="1" applyBorder="1" applyAlignment="1"/>
    <xf numFmtId="0" fontId="4" fillId="0" borderId="133" xfId="5" applyFont="1" applyFill="1" applyBorder="1" applyAlignment="1"/>
    <xf numFmtId="0" fontId="4" fillId="0" borderId="143" xfId="14" applyFont="1" applyFill="1" applyBorder="1" applyAlignment="1"/>
    <xf numFmtId="0" fontId="4" fillId="0" borderId="145" xfId="5" applyFont="1" applyFill="1" applyBorder="1" applyAlignment="1"/>
    <xf numFmtId="0" fontId="4" fillId="0" borderId="16" xfId="5" applyFont="1" applyFill="1" applyBorder="1" applyAlignment="1"/>
    <xf numFmtId="0" fontId="4" fillId="0" borderId="16" xfId="0" applyFont="1" applyBorder="1"/>
    <xf numFmtId="0" fontId="4" fillId="0" borderId="22" xfId="0" applyFont="1" applyBorder="1"/>
    <xf numFmtId="0" fontId="4" fillId="0" borderId="0" xfId="0" applyFont="1" applyBorder="1"/>
    <xf numFmtId="0" fontId="4" fillId="0" borderId="119" xfId="0" applyFont="1" applyBorder="1"/>
    <xf numFmtId="0" fontId="4" fillId="0" borderId="16" xfId="5" applyFont="1" applyFill="1" applyBorder="1" applyAlignment="1">
      <alignment vertical="top"/>
    </xf>
    <xf numFmtId="0" fontId="18" fillId="0" borderId="146" xfId="5" applyFont="1" applyFill="1" applyBorder="1" applyAlignment="1"/>
    <xf numFmtId="0" fontId="60" fillId="0" borderId="0" xfId="33" applyFont="1" applyFill="1" applyBorder="1" applyAlignment="1">
      <alignment horizontal="center" vertical="top"/>
    </xf>
    <xf numFmtId="0" fontId="58" fillId="0" borderId="16" xfId="33" applyFont="1" applyFill="1" applyBorder="1" applyAlignment="1">
      <alignment horizontal="right" vertical="top"/>
    </xf>
    <xf numFmtId="0" fontId="4" fillId="0" borderId="126" xfId="5" applyFont="1" applyFill="1" applyBorder="1" applyAlignment="1"/>
    <xf numFmtId="0" fontId="18" fillId="0" borderId="127" xfId="5" applyFont="1" applyFill="1" applyBorder="1" applyAlignment="1"/>
    <xf numFmtId="0" fontId="4" fillId="0" borderId="126" xfId="0" applyFont="1" applyBorder="1"/>
    <xf numFmtId="0" fontId="4" fillId="0" borderId="125" xfId="0" applyFont="1" applyBorder="1"/>
    <xf numFmtId="0" fontId="4" fillId="0" borderId="127" xfId="0" applyFont="1" applyBorder="1"/>
    <xf numFmtId="0" fontId="4" fillId="0" borderId="126" xfId="5" applyFont="1" applyFill="1" applyBorder="1" applyAlignment="1">
      <alignment vertical="top"/>
    </xf>
    <xf numFmtId="0" fontId="4" fillId="0" borderId="125" xfId="5" applyFont="1" applyFill="1" applyBorder="1" applyAlignment="1">
      <alignment horizontal="right" vertical="top"/>
    </xf>
    <xf numFmtId="0" fontId="61" fillId="0" borderId="127" xfId="33" applyFont="1" applyFill="1" applyBorder="1" applyAlignment="1">
      <alignment horizontal="center" vertical="top"/>
    </xf>
    <xf numFmtId="0" fontId="59" fillId="0" borderId="126" xfId="33" applyFont="1" applyFill="1" applyBorder="1" applyAlignment="1">
      <alignment horizontal="right" vertical="top"/>
    </xf>
    <xf numFmtId="0" fontId="4" fillId="0" borderId="118" xfId="22" applyFont="1" applyBorder="1" applyAlignment="1"/>
    <xf numFmtId="0" fontId="18" fillId="0" borderId="118" xfId="22" applyFont="1" applyBorder="1" applyAlignment="1"/>
    <xf numFmtId="0" fontId="4" fillId="5" borderId="0" xfId="0" applyFont="1" applyFill="1" applyAlignment="1"/>
    <xf numFmtId="164" fontId="18" fillId="0" borderId="0" xfId="19" applyNumberFormat="1" applyFont="1" applyAlignment="1">
      <alignment horizontal="left"/>
    </xf>
    <xf numFmtId="20" fontId="18" fillId="0" borderId="0" xfId="19" applyNumberFormat="1" applyFont="1" applyAlignment="1">
      <alignment horizontal="left"/>
    </xf>
    <xf numFmtId="0" fontId="4" fillId="0" borderId="0" xfId="19" applyFont="1" applyAlignment="1"/>
    <xf numFmtId="0" fontId="4" fillId="0" borderId="0" xfId="19" applyFont="1" applyAlignment="1">
      <alignment horizontal="center"/>
    </xf>
    <xf numFmtId="165" fontId="4" fillId="0" borderId="0" xfId="19" applyNumberFormat="1" applyFont="1" applyAlignment="1">
      <alignment horizontal="right"/>
    </xf>
    <xf numFmtId="0" fontId="18" fillId="10" borderId="132" xfId="5" applyFont="1" applyFill="1" applyBorder="1" applyAlignment="1"/>
    <xf numFmtId="0" fontId="4" fillId="0" borderId="22" xfId="5" applyFont="1" applyFill="1" applyBorder="1" applyAlignment="1">
      <alignment horizontal="right"/>
    </xf>
    <xf numFmtId="0" fontId="18" fillId="19" borderId="59" xfId="14" applyFont="1" applyFill="1" applyBorder="1" applyAlignment="1"/>
    <xf numFmtId="0" fontId="18" fillId="19" borderId="142" xfId="22" applyFont="1" applyFill="1" applyBorder="1" applyAlignment="1"/>
    <xf numFmtId="0" fontId="18" fillId="19" borderId="85" xfId="22" applyFont="1" applyFill="1" applyBorder="1" applyAlignment="1"/>
    <xf numFmtId="0" fontId="18" fillId="19" borderId="19" xfId="22" applyFont="1" applyFill="1" applyBorder="1" applyAlignment="1"/>
    <xf numFmtId="0" fontId="63" fillId="0" borderId="114" xfId="21" applyFont="1" applyFill="1" applyBorder="1" applyAlignment="1"/>
    <xf numFmtId="0" fontId="63" fillId="0" borderId="114" xfId="22" applyFont="1" applyBorder="1" applyAlignment="1"/>
    <xf numFmtId="0" fontId="4" fillId="0" borderId="22" xfId="33" applyFont="1" applyFill="1" applyBorder="1" applyAlignment="1"/>
    <xf numFmtId="0" fontId="58" fillId="0" borderId="72" xfId="33" applyFont="1" applyFill="1" applyBorder="1" applyAlignment="1"/>
    <xf numFmtId="0" fontId="18" fillId="5" borderId="83" xfId="22" applyFont="1" applyFill="1" applyBorder="1" applyAlignment="1"/>
    <xf numFmtId="0" fontId="14" fillId="0" borderId="0" xfId="0" applyFont="1" applyAlignment="1"/>
    <xf numFmtId="0" fontId="4" fillId="5" borderId="0" xfId="0" applyFont="1" applyFill="1" applyBorder="1" applyAlignment="1"/>
    <xf numFmtId="0" fontId="28" fillId="0" borderId="0" xfId="0" applyFont="1" applyAlignment="1">
      <alignment horizontal="right"/>
    </xf>
    <xf numFmtId="0" fontId="33" fillId="0" borderId="114" xfId="8" applyFont="1" applyBorder="1" applyAlignment="1">
      <alignment vertical="top" wrapText="1"/>
    </xf>
    <xf numFmtId="0" fontId="0" fillId="4" borderId="153" xfId="8" applyFont="1" applyFill="1" applyBorder="1" applyAlignment="1">
      <alignment horizontal="center"/>
    </xf>
    <xf numFmtId="0" fontId="36" fillId="0" borderId="114" xfId="8" applyFont="1" applyFill="1" applyBorder="1" applyAlignment="1"/>
    <xf numFmtId="0" fontId="17" fillId="0" borderId="114" xfId="8" applyFont="1" applyFill="1" applyBorder="1" applyAlignment="1"/>
    <xf numFmtId="0" fontId="20" fillId="0" borderId="0" xfId="33" applyFill="1" applyBorder="1" applyAlignment="1"/>
    <xf numFmtId="0" fontId="20" fillId="5" borderId="154" xfId="33" applyFill="1" applyBorder="1"/>
    <xf numFmtId="0" fontId="23" fillId="0" borderId="155" xfId="21" applyFont="1" applyFill="1" applyBorder="1" applyAlignment="1">
      <alignment vertical="center"/>
    </xf>
    <xf numFmtId="0" fontId="1" fillId="0" borderId="55" xfId="8" applyFont="1" applyFill="1" applyBorder="1" applyAlignment="1"/>
    <xf numFmtId="0" fontId="0" fillId="0" borderId="0" xfId="0" applyAlignment="1">
      <alignment horizontal="center"/>
    </xf>
    <xf numFmtId="0" fontId="64" fillId="20" borderId="131" xfId="33" applyFont="1" applyFill="1" applyBorder="1" applyAlignment="1"/>
    <xf numFmtId="0" fontId="18" fillId="20" borderId="22" xfId="22" applyFont="1" applyFill="1" applyBorder="1" applyAlignment="1"/>
    <xf numFmtId="0" fontId="20" fillId="20" borderId="22" xfId="33" applyFill="1" applyBorder="1" applyAlignment="1"/>
    <xf numFmtId="0" fontId="65" fillId="20" borderId="114" xfId="21" applyFont="1" applyFill="1" applyBorder="1"/>
    <xf numFmtId="0" fontId="66" fillId="20" borderId="114" xfId="33" applyFont="1" applyFill="1" applyBorder="1" applyAlignment="1"/>
    <xf numFmtId="0" fontId="18" fillId="17" borderId="0" xfId="22" applyFont="1" applyFill="1" applyBorder="1" applyAlignment="1"/>
    <xf numFmtId="0" fontId="18" fillId="17" borderId="127" xfId="22" applyFont="1" applyFill="1" applyBorder="1" applyAlignment="1"/>
    <xf numFmtId="0" fontId="4" fillId="0" borderId="28" xfId="14" applyFont="1" applyFill="1" applyBorder="1" applyAlignment="1"/>
    <xf numFmtId="0" fontId="20" fillId="0" borderId="157" xfId="33" applyFill="1" applyBorder="1"/>
    <xf numFmtId="0" fontId="62" fillId="0" borderId="114" xfId="33" applyFont="1" applyFill="1" applyBorder="1"/>
    <xf numFmtId="0" fontId="67" fillId="0" borderId="125" xfId="22" applyFont="1" applyFill="1" applyBorder="1" applyAlignment="1"/>
    <xf numFmtId="20" fontId="1" fillId="11" borderId="0" xfId="21" applyNumberFormat="1" applyFont="1" applyFill="1" applyBorder="1" applyAlignment="1">
      <alignment horizontal="left" vertical="center"/>
    </xf>
    <xf numFmtId="0" fontId="23" fillId="0" borderId="0" xfId="21" applyFont="1" applyFill="1" applyBorder="1" applyAlignment="1">
      <alignment vertical="center"/>
    </xf>
    <xf numFmtId="0" fontId="20" fillId="0" borderId="22" xfId="33" applyFill="1" applyBorder="1" applyAlignment="1"/>
    <xf numFmtId="165" fontId="0" fillId="0" borderId="0" xfId="19" applyNumberFormat="1" applyFont="1" applyAlignment="1">
      <alignment horizontal="center"/>
    </xf>
    <xf numFmtId="0" fontId="27" fillId="0" borderId="16" xfId="33" applyFont="1" applyFill="1" applyBorder="1" applyAlignment="1"/>
    <xf numFmtId="0" fontId="27" fillId="0" borderId="26" xfId="33" applyFont="1" applyFill="1" applyBorder="1" applyAlignment="1"/>
    <xf numFmtId="0" fontId="18" fillId="5" borderId="72" xfId="22" applyFont="1" applyFill="1" applyBorder="1" applyAlignment="1"/>
    <xf numFmtId="0" fontId="18" fillId="0" borderId="158" xfId="22" applyFont="1" applyFill="1" applyBorder="1" applyAlignment="1"/>
    <xf numFmtId="0" fontId="18" fillId="0" borderId="159" xfId="22" applyFont="1" applyFill="1" applyBorder="1" applyAlignment="1"/>
    <xf numFmtId="0" fontId="20" fillId="5" borderId="161" xfId="33" applyFill="1" applyBorder="1"/>
    <xf numFmtId="0" fontId="20" fillId="5" borderId="162" xfId="33" applyFill="1" applyBorder="1"/>
    <xf numFmtId="16" fontId="0" fillId="0" borderId="48" xfId="22" quotePrefix="1" applyNumberFormat="1" applyFont="1" applyFill="1" applyBorder="1" applyAlignment="1">
      <alignment horizontal="center" vertical="center"/>
    </xf>
    <xf numFmtId="169" fontId="1" fillId="0" borderId="0" xfId="2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48" xfId="22" quotePrefix="1" applyNumberFormat="1" applyFont="1" applyFill="1" applyBorder="1" applyAlignment="1">
      <alignment horizontal="center" vertical="center"/>
    </xf>
    <xf numFmtId="169" fontId="1" fillId="0" borderId="0" xfId="2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47" fillId="0" borderId="0" xfId="0" applyFont="1"/>
    <xf numFmtId="0" fontId="0" fillId="0" borderId="0" xfId="0" applyFill="1" applyBorder="1" applyAlignment="1">
      <alignment horizontal="right"/>
    </xf>
    <xf numFmtId="0" fontId="15" fillId="0" borderId="163" xfId="22" applyFont="1" applyBorder="1"/>
    <xf numFmtId="0" fontId="1" fillId="0" borderId="163" xfId="22" applyFont="1" applyBorder="1"/>
    <xf numFmtId="0" fontId="16" fillId="21" borderId="0" xfId="22" applyNumberFormat="1" applyFont="1" applyFill="1" applyBorder="1" applyAlignment="1">
      <alignment horizontal="center" vertical="center"/>
    </xf>
    <xf numFmtId="0" fontId="0" fillId="21" borderId="0" xfId="0" applyFill="1"/>
    <xf numFmtId="0" fontId="1" fillId="5" borderId="4" xfId="16" applyFont="1" applyFill="1" applyBorder="1" applyAlignment="1">
      <alignment horizontal="center"/>
    </xf>
    <xf numFmtId="0" fontId="4" fillId="0" borderId="126" xfId="0" applyFont="1" applyBorder="1" applyAlignment="1"/>
    <xf numFmtId="0" fontId="4" fillId="0" borderId="127" xfId="0" applyFont="1" applyBorder="1" applyAlignment="1"/>
    <xf numFmtId="0" fontId="1" fillId="5" borderId="3" xfId="16" applyFont="1" applyFill="1" applyBorder="1" applyAlignment="1">
      <alignment horizontal="center"/>
    </xf>
    <xf numFmtId="0" fontId="68" fillId="0" borderId="131" xfId="33" applyFont="1" applyFill="1" applyBorder="1" applyAlignment="1"/>
    <xf numFmtId="0" fontId="69" fillId="0" borderId="16" xfId="22" applyFont="1" applyFill="1" applyBorder="1" applyAlignment="1"/>
    <xf numFmtId="0" fontId="58" fillId="0" borderId="127" xfId="33" applyFont="1" applyBorder="1" applyAlignment="1"/>
    <xf numFmtId="0" fontId="4" fillId="17" borderId="103" xfId="22" applyFont="1" applyFill="1" applyBorder="1" applyAlignment="1"/>
    <xf numFmtId="0" fontId="4" fillId="17" borderId="16" xfId="22" applyFont="1" applyFill="1" applyBorder="1" applyAlignment="1"/>
    <xf numFmtId="0" fontId="58" fillId="17" borderId="64" xfId="33" applyFont="1" applyFill="1" applyBorder="1" applyAlignment="1"/>
    <xf numFmtId="0" fontId="4" fillId="8" borderId="25" xfId="33" applyFont="1" applyFill="1" applyBorder="1" applyAlignment="1"/>
    <xf numFmtId="0" fontId="4" fillId="8" borderId="16" xfId="22" applyFont="1" applyFill="1" applyBorder="1" applyAlignment="1"/>
    <xf numFmtId="0" fontId="58" fillId="8" borderId="64" xfId="33" applyFont="1" applyFill="1" applyBorder="1" applyAlignment="1"/>
    <xf numFmtId="0" fontId="58" fillId="5" borderId="16" xfId="33" applyFont="1" applyFill="1" applyBorder="1" applyAlignment="1"/>
    <xf numFmtId="0" fontId="4" fillId="5" borderId="16" xfId="33" applyFont="1" applyFill="1" applyBorder="1" applyAlignment="1"/>
    <xf numFmtId="0" fontId="58" fillId="5" borderId="26" xfId="33" applyFont="1" applyFill="1" applyBorder="1" applyAlignment="1"/>
    <xf numFmtId="0" fontId="58" fillId="5" borderId="131" xfId="33" applyFont="1" applyFill="1" applyBorder="1" applyAlignment="1"/>
    <xf numFmtId="0" fontId="58" fillId="6" borderId="24" xfId="33" applyFont="1" applyFill="1" applyBorder="1" applyAlignment="1"/>
    <xf numFmtId="0" fontId="4" fillId="6" borderId="16" xfId="14" applyFont="1" applyFill="1" applyBorder="1" applyAlignment="1"/>
    <xf numFmtId="0" fontId="4" fillId="6" borderId="75" xfId="14" applyFont="1" applyFill="1" applyBorder="1" applyAlignment="1"/>
    <xf numFmtId="0" fontId="58" fillId="0" borderId="16" xfId="33" applyFont="1" applyFill="1" applyBorder="1" applyAlignment="1"/>
    <xf numFmtId="0" fontId="58" fillId="0" borderId="141" xfId="33" applyFont="1" applyBorder="1" applyAlignment="1"/>
    <xf numFmtId="0" fontId="58" fillId="0" borderId="126" xfId="33" applyFont="1" applyBorder="1" applyAlignment="1"/>
    <xf numFmtId="0" fontId="58" fillId="5" borderId="126" xfId="33" applyFont="1" applyFill="1" applyBorder="1" applyAlignment="1"/>
    <xf numFmtId="0" fontId="58" fillId="0" borderId="26" xfId="33" applyFont="1" applyBorder="1" applyAlignment="1"/>
    <xf numFmtId="0" fontId="58" fillId="5" borderId="82" xfId="33" applyFont="1" applyFill="1" applyBorder="1" applyAlignment="1"/>
    <xf numFmtId="0" fontId="4" fillId="17" borderId="0" xfId="0" applyFont="1" applyFill="1" applyAlignment="1"/>
    <xf numFmtId="0" fontId="4" fillId="20" borderId="16" xfId="22" applyFont="1" applyFill="1" applyBorder="1" applyAlignment="1"/>
    <xf numFmtId="0" fontId="58" fillId="20" borderId="21" xfId="33" applyFont="1" applyFill="1" applyBorder="1" applyAlignment="1"/>
    <xf numFmtId="0" fontId="4" fillId="17" borderId="131" xfId="0" applyFont="1" applyFill="1" applyBorder="1" applyAlignment="1"/>
    <xf numFmtId="0" fontId="57" fillId="0" borderId="151" xfId="33" applyFont="1" applyBorder="1" applyAlignment="1"/>
    <xf numFmtId="0" fontId="58" fillId="0" borderId="150" xfId="33" applyFont="1" applyBorder="1" applyAlignment="1"/>
    <xf numFmtId="0" fontId="58" fillId="5" borderId="160" xfId="33" applyFont="1" applyFill="1" applyBorder="1" applyAlignment="1"/>
    <xf numFmtId="0" fontId="58" fillId="0" borderId="114" xfId="33" applyFont="1" applyFill="1" applyBorder="1" applyAlignment="1"/>
    <xf numFmtId="0" fontId="4" fillId="0" borderId="114" xfId="6" applyFont="1" applyFill="1" applyBorder="1" applyAlignment="1">
      <alignment horizontal="left"/>
    </xf>
    <xf numFmtId="166" fontId="4" fillId="0" borderId="114" xfId="21" applyNumberFormat="1" applyFont="1" applyFill="1" applyBorder="1" applyAlignment="1">
      <alignment horizontal="center"/>
    </xf>
    <xf numFmtId="167" fontId="4" fillId="0" borderId="114" xfId="21" applyNumberFormat="1" applyFont="1" applyFill="1" applyBorder="1" applyAlignment="1">
      <alignment horizontal="center"/>
    </xf>
    <xf numFmtId="0" fontId="4" fillId="0" borderId="113" xfId="21" applyFont="1" applyFill="1" applyBorder="1" applyAlignment="1">
      <alignment vertical="center"/>
    </xf>
    <xf numFmtId="0" fontId="4" fillId="0" borderId="113" xfId="21" applyFont="1" applyFill="1" applyBorder="1" applyAlignment="1"/>
    <xf numFmtId="165" fontId="4" fillId="0" borderId="113" xfId="21" applyNumberFormat="1" applyFont="1" applyFill="1" applyBorder="1" applyAlignment="1">
      <alignment horizontal="center" vertical="center"/>
    </xf>
    <xf numFmtId="167" fontId="4" fillId="0" borderId="113" xfId="21" applyNumberFormat="1" applyFont="1" applyFill="1" applyBorder="1" applyAlignment="1">
      <alignment horizontal="center" vertical="center"/>
    </xf>
    <xf numFmtId="0" fontId="58" fillId="8" borderId="55" xfId="33" applyFont="1" applyFill="1" applyBorder="1" applyAlignment="1"/>
    <xf numFmtId="0" fontId="4" fillId="8" borderId="55" xfId="6" applyFont="1" applyFill="1" applyBorder="1" applyAlignment="1">
      <alignment horizontal="left"/>
    </xf>
    <xf numFmtId="166" fontId="4" fillId="8" borderId="55" xfId="21" applyNumberFormat="1" applyFont="1" applyFill="1" applyBorder="1" applyAlignment="1">
      <alignment horizontal="center"/>
    </xf>
    <xf numFmtId="167" fontId="4" fillId="8" borderId="55" xfId="21" applyNumberFormat="1" applyFont="1" applyFill="1" applyBorder="1" applyAlignment="1">
      <alignment horizontal="center" vertical="center"/>
    </xf>
    <xf numFmtId="0" fontId="58" fillId="5" borderId="84" xfId="33" applyFont="1" applyFill="1" applyBorder="1" applyAlignment="1"/>
    <xf numFmtId="0" fontId="4" fillId="5" borderId="84" xfId="6" applyFont="1" applyFill="1" applyBorder="1" applyAlignment="1">
      <alignment horizontal="left"/>
    </xf>
    <xf numFmtId="166" fontId="4" fillId="5" borderId="84" xfId="21" applyNumberFormat="1" applyFont="1" applyFill="1" applyBorder="1" applyAlignment="1">
      <alignment horizontal="center"/>
    </xf>
    <xf numFmtId="167" fontId="4" fillId="5" borderId="84" xfId="21" applyNumberFormat="1" applyFont="1" applyFill="1" applyBorder="1" applyAlignment="1">
      <alignment horizontal="center"/>
    </xf>
    <xf numFmtId="0" fontId="58" fillId="6" borderId="84" xfId="33" applyFont="1" applyFill="1" applyBorder="1" applyAlignment="1"/>
    <xf numFmtId="0" fontId="4" fillId="6" borderId="84" xfId="6" applyFont="1" applyFill="1" applyBorder="1" applyAlignment="1">
      <alignment horizontal="left"/>
    </xf>
    <xf numFmtId="166" fontId="4" fillId="6" borderId="84" xfId="21" applyNumberFormat="1" applyFont="1" applyFill="1" applyBorder="1" applyAlignment="1">
      <alignment horizontal="center"/>
    </xf>
    <xf numFmtId="167" fontId="4" fillId="6" borderId="84" xfId="21" applyNumberFormat="1" applyFont="1" applyFill="1" applyBorder="1" applyAlignment="1">
      <alignment horizontal="center"/>
    </xf>
    <xf numFmtId="0" fontId="4" fillId="0" borderId="2" xfId="21" applyFont="1" applyFill="1" applyBorder="1" applyAlignment="1">
      <alignment vertical="center"/>
    </xf>
    <xf numFmtId="0" fontId="4" fillId="0" borderId="2" xfId="21" applyFont="1" applyFill="1" applyBorder="1" applyAlignment="1"/>
    <xf numFmtId="165" fontId="4" fillId="0" borderId="2" xfId="21" applyNumberFormat="1" applyFont="1" applyFill="1" applyBorder="1" applyAlignment="1">
      <alignment horizontal="center" vertical="center"/>
    </xf>
    <xf numFmtId="167" fontId="4" fillId="0" borderId="2" xfId="21" applyNumberFormat="1" applyFont="1" applyFill="1" applyBorder="1" applyAlignment="1">
      <alignment horizontal="center" vertical="center"/>
    </xf>
    <xf numFmtId="0" fontId="58" fillId="8" borderId="116" xfId="33" applyFont="1" applyFill="1" applyBorder="1" applyAlignment="1"/>
    <xf numFmtId="0" fontId="4" fillId="8" borderId="116" xfId="6" applyFont="1" applyFill="1" applyBorder="1" applyAlignment="1">
      <alignment horizontal="left"/>
    </xf>
    <xf numFmtId="166" fontId="4" fillId="8" borderId="116" xfId="21" applyNumberFormat="1" applyFont="1" applyFill="1" applyBorder="1" applyAlignment="1">
      <alignment horizontal="center"/>
    </xf>
    <xf numFmtId="167" fontId="4" fillId="8" borderId="116" xfId="21" applyNumberFormat="1" applyFont="1" applyFill="1" applyBorder="1" applyAlignment="1">
      <alignment horizontal="center" vertical="center"/>
    </xf>
    <xf numFmtId="0" fontId="58" fillId="5" borderId="154" xfId="33" applyFont="1" applyFill="1" applyBorder="1" applyAlignment="1"/>
    <xf numFmtId="0" fontId="4" fillId="5" borderId="154" xfId="6" applyFont="1" applyFill="1" applyBorder="1" applyAlignment="1">
      <alignment horizontal="left"/>
    </xf>
    <xf numFmtId="166" fontId="4" fillId="5" borderId="154" xfId="21" applyNumberFormat="1" applyFont="1" applyFill="1" applyBorder="1" applyAlignment="1">
      <alignment horizontal="center"/>
    </xf>
    <xf numFmtId="167" fontId="4" fillId="5" borderId="154" xfId="21" applyNumberFormat="1" applyFont="1" applyFill="1" applyBorder="1" applyAlignment="1">
      <alignment horizontal="center"/>
    </xf>
    <xf numFmtId="0" fontId="4" fillId="0" borderId="155" xfId="21" applyFont="1" applyFill="1" applyBorder="1" applyAlignment="1">
      <alignment vertical="center"/>
    </xf>
    <xf numFmtId="0" fontId="4" fillId="0" borderId="155" xfId="21" applyFont="1" applyFill="1" applyBorder="1" applyAlignment="1"/>
    <xf numFmtId="165" fontId="4" fillId="0" borderId="155" xfId="21" applyNumberFormat="1" applyFont="1" applyFill="1" applyBorder="1" applyAlignment="1">
      <alignment horizontal="center" vertical="center"/>
    </xf>
    <xf numFmtId="167" fontId="4" fillId="0" borderId="155" xfId="21" applyNumberFormat="1" applyFont="1" applyFill="1" applyBorder="1" applyAlignment="1">
      <alignment horizontal="center" vertical="center"/>
    </xf>
    <xf numFmtId="0" fontId="58" fillId="5" borderId="156" xfId="33" applyFont="1" applyFill="1" applyBorder="1" applyAlignment="1"/>
    <xf numFmtId="0" fontId="4" fillId="5" borderId="156" xfId="6" applyFont="1" applyFill="1" applyBorder="1" applyAlignment="1">
      <alignment horizontal="left"/>
    </xf>
    <xf numFmtId="166" fontId="4" fillId="5" borderId="156" xfId="21" applyNumberFormat="1" applyFont="1" applyFill="1" applyBorder="1" applyAlignment="1">
      <alignment horizontal="center"/>
    </xf>
    <xf numFmtId="167" fontId="4" fillId="5" borderId="156" xfId="21" applyNumberFormat="1" applyFont="1" applyFill="1" applyBorder="1" applyAlignment="1">
      <alignment horizontal="center"/>
    </xf>
    <xf numFmtId="0" fontId="58" fillId="0" borderId="157" xfId="33" applyFont="1" applyFill="1" applyBorder="1" applyAlignment="1"/>
    <xf numFmtId="0" fontId="4" fillId="0" borderId="157" xfId="6" applyFont="1" applyFill="1" applyBorder="1" applyAlignment="1">
      <alignment horizontal="left"/>
    </xf>
    <xf numFmtId="166" fontId="4" fillId="0" borderId="157" xfId="21" applyNumberFormat="1" applyFont="1" applyFill="1" applyBorder="1" applyAlignment="1">
      <alignment horizontal="center"/>
    </xf>
    <xf numFmtId="167" fontId="4" fillId="0" borderId="157" xfId="21" applyNumberFormat="1" applyFont="1" applyFill="1" applyBorder="1" applyAlignment="1">
      <alignment horizontal="center"/>
    </xf>
    <xf numFmtId="0" fontId="58" fillId="20" borderId="114" xfId="33" applyFont="1" applyFill="1" applyBorder="1" applyAlignment="1"/>
    <xf numFmtId="0" fontId="4" fillId="20" borderId="114" xfId="6" applyFont="1" applyFill="1" applyBorder="1" applyAlignment="1">
      <alignment horizontal="left"/>
    </xf>
    <xf numFmtId="166" fontId="4" fillId="20" borderId="114" xfId="21" applyNumberFormat="1" applyFont="1" applyFill="1" applyBorder="1" applyAlignment="1">
      <alignment horizontal="center"/>
    </xf>
    <xf numFmtId="167" fontId="4" fillId="20" borderId="114" xfId="21" applyNumberFormat="1" applyFont="1" applyFill="1" applyBorder="1" applyAlignment="1">
      <alignment horizontal="center"/>
    </xf>
    <xf numFmtId="0" fontId="4" fillId="0" borderId="0" xfId="21" applyFont="1" applyFill="1" applyBorder="1" applyAlignment="1">
      <alignment vertical="center"/>
    </xf>
    <xf numFmtId="0" fontId="4" fillId="0" borderId="0" xfId="21" applyFont="1" applyFill="1" applyBorder="1" applyAlignment="1"/>
    <xf numFmtId="165" fontId="4" fillId="0" borderId="0" xfId="21" applyNumberFormat="1" applyFont="1" applyFill="1" applyBorder="1" applyAlignment="1">
      <alignment horizontal="center" vertical="center"/>
    </xf>
    <xf numFmtId="167" fontId="4" fillId="0" borderId="0" xfId="21" applyNumberFormat="1" applyFont="1" applyFill="1" applyBorder="1" applyAlignment="1">
      <alignment horizontal="center" vertical="center"/>
    </xf>
    <xf numFmtId="0" fontId="58" fillId="5" borderId="161" xfId="33" applyFont="1" applyFill="1" applyBorder="1" applyAlignment="1"/>
    <xf numFmtId="0" fontId="4" fillId="5" borderId="161" xfId="6" applyFont="1" applyFill="1" applyBorder="1" applyAlignment="1">
      <alignment horizontal="left"/>
    </xf>
    <xf numFmtId="166" fontId="4" fillId="5" borderId="161" xfId="21" applyNumberFormat="1" applyFont="1" applyFill="1" applyBorder="1" applyAlignment="1">
      <alignment horizontal="center"/>
    </xf>
    <xf numFmtId="167" fontId="4" fillId="5" borderId="4" xfId="21" applyNumberFormat="1" applyFont="1" applyFill="1" applyBorder="1" applyAlignment="1">
      <alignment horizontal="center"/>
    </xf>
    <xf numFmtId="0" fontId="58" fillId="5" borderId="162" xfId="33" applyFont="1" applyFill="1" applyBorder="1" applyAlignment="1"/>
    <xf numFmtId="0" fontId="4" fillId="5" borderId="162" xfId="6" applyFont="1" applyFill="1" applyBorder="1" applyAlignment="1">
      <alignment horizontal="left"/>
    </xf>
    <xf numFmtId="166" fontId="4" fillId="5" borderId="162" xfId="21" applyNumberFormat="1" applyFont="1" applyFill="1" applyBorder="1" applyAlignment="1">
      <alignment horizontal="center"/>
    </xf>
    <xf numFmtId="167" fontId="4" fillId="5" borderId="55" xfId="21" applyNumberFormat="1" applyFont="1" applyFill="1" applyBorder="1" applyAlignment="1">
      <alignment horizontal="center"/>
    </xf>
    <xf numFmtId="0" fontId="4" fillId="0" borderId="114" xfId="21" applyNumberFormat="1" applyFont="1" applyFill="1" applyBorder="1" applyAlignment="1">
      <alignment horizontal="left" vertical="center"/>
    </xf>
    <xf numFmtId="49" fontId="4" fillId="0" borderId="114" xfId="5" applyNumberFormat="1" applyFont="1" applyFill="1" applyBorder="1"/>
    <xf numFmtId="0" fontId="4" fillId="0" borderId="114" xfId="21" applyFont="1" applyFill="1" applyBorder="1"/>
    <xf numFmtId="0" fontId="4" fillId="0" borderId="114" xfId="21" applyFont="1" applyFill="1" applyBorder="1" applyAlignment="1"/>
    <xf numFmtId="0" fontId="4" fillId="0" borderId="114" xfId="22" applyFont="1" applyBorder="1" applyAlignment="1"/>
    <xf numFmtId="0" fontId="4" fillId="0" borderId="114" xfId="21" applyNumberFormat="1" applyFont="1" applyFill="1" applyBorder="1" applyAlignment="1">
      <alignment horizontal="left"/>
    </xf>
    <xf numFmtId="0" fontId="18" fillId="11" borderId="113" xfId="21" quotePrefix="1" applyNumberFormat="1" applyFont="1" applyFill="1" applyBorder="1" applyAlignment="1">
      <alignment horizontal="left" vertical="center"/>
    </xf>
    <xf numFmtId="20" fontId="4" fillId="11" borderId="113" xfId="21" applyNumberFormat="1" applyFont="1" applyFill="1" applyBorder="1" applyAlignment="1">
      <alignment horizontal="left" vertical="center"/>
    </xf>
    <xf numFmtId="0" fontId="4" fillId="8" borderId="55" xfId="21" applyNumberFormat="1" applyFont="1" applyFill="1" applyBorder="1" applyAlignment="1">
      <alignment horizontal="left"/>
    </xf>
    <xf numFmtId="49" fontId="4" fillId="8" borderId="48" xfId="5" applyNumberFormat="1" applyFont="1" applyFill="1" applyBorder="1"/>
    <xf numFmtId="0" fontId="4" fillId="8" borderId="55" xfId="21" applyFont="1" applyFill="1" applyBorder="1"/>
    <xf numFmtId="0" fontId="4" fillId="8" borderId="55" xfId="21" applyFont="1" applyFill="1" applyBorder="1" applyAlignment="1">
      <alignment vertical="center"/>
    </xf>
    <xf numFmtId="0" fontId="4" fillId="5" borderId="84" xfId="21" applyNumberFormat="1" applyFont="1" applyFill="1" applyBorder="1" applyAlignment="1">
      <alignment horizontal="left"/>
    </xf>
    <xf numFmtId="49" fontId="4" fillId="5" borderId="84" xfId="5" applyNumberFormat="1" applyFont="1" applyFill="1" applyBorder="1"/>
    <xf numFmtId="0" fontId="4" fillId="5" borderId="84" xfId="21" applyFont="1" applyFill="1" applyBorder="1"/>
    <xf numFmtId="0" fontId="4" fillId="5" borderId="84" xfId="21" applyFont="1" applyFill="1" applyBorder="1" applyAlignment="1"/>
    <xf numFmtId="0" fontId="4" fillId="6" borderId="84" xfId="21" applyNumberFormat="1" applyFont="1" applyFill="1" applyBorder="1" applyAlignment="1">
      <alignment horizontal="left"/>
    </xf>
    <xf numFmtId="49" fontId="4" fillId="6" borderId="84" xfId="5" applyNumberFormat="1" applyFont="1" applyFill="1" applyBorder="1"/>
    <xf numFmtId="0" fontId="4" fillId="6" borderId="84" xfId="21" applyFont="1" applyFill="1" applyBorder="1"/>
    <xf numFmtId="0" fontId="4" fillId="6" borderId="84" xfId="21" applyFont="1" applyFill="1" applyBorder="1" applyAlignment="1"/>
    <xf numFmtId="0" fontId="18" fillId="11" borderId="2" xfId="21" quotePrefix="1" applyNumberFormat="1" applyFont="1" applyFill="1" applyBorder="1" applyAlignment="1">
      <alignment horizontal="left" vertical="center"/>
    </xf>
    <xf numFmtId="20" fontId="4" fillId="11" borderId="2" xfId="21" applyNumberFormat="1" applyFont="1" applyFill="1" applyBorder="1" applyAlignment="1">
      <alignment horizontal="left" vertical="center"/>
    </xf>
    <xf numFmtId="0" fontId="4" fillId="8" borderId="116" xfId="21" applyNumberFormat="1" applyFont="1" applyFill="1" applyBorder="1" applyAlignment="1">
      <alignment horizontal="left"/>
    </xf>
    <xf numFmtId="49" fontId="4" fillId="8" borderId="117" xfId="5" applyNumberFormat="1" applyFont="1" applyFill="1" applyBorder="1"/>
    <xf numFmtId="0" fontId="4" fillId="8" borderId="115" xfId="21" applyFont="1" applyFill="1" applyBorder="1"/>
    <xf numFmtId="0" fontId="4" fillId="8" borderId="116" xfId="21" applyFont="1" applyFill="1" applyBorder="1" applyAlignment="1">
      <alignment vertical="center"/>
    </xf>
    <xf numFmtId="0" fontId="4" fillId="5" borderId="154" xfId="21" applyNumberFormat="1" applyFont="1" applyFill="1" applyBorder="1" applyAlignment="1">
      <alignment horizontal="left"/>
    </xf>
    <xf numFmtId="49" fontId="4" fillId="5" borderId="154" xfId="5" applyNumberFormat="1" applyFont="1" applyFill="1" applyBorder="1"/>
    <xf numFmtId="0" fontId="4" fillId="5" borderId="154" xfId="21" applyFont="1" applyFill="1" applyBorder="1"/>
    <xf numFmtId="0" fontId="4" fillId="5" borderId="154" xfId="21" applyFont="1" applyFill="1" applyBorder="1" applyAlignment="1"/>
    <xf numFmtId="0" fontId="18" fillId="11" borderId="155" xfId="21" quotePrefix="1" applyNumberFormat="1" applyFont="1" applyFill="1" applyBorder="1" applyAlignment="1">
      <alignment horizontal="left" vertical="center"/>
    </xf>
    <xf numFmtId="20" fontId="4" fillId="11" borderId="155" xfId="21" applyNumberFormat="1" applyFont="1" applyFill="1" applyBorder="1" applyAlignment="1">
      <alignment horizontal="left" vertical="center"/>
    </xf>
    <xf numFmtId="0" fontId="4" fillId="5" borderId="156" xfId="21" applyNumberFormat="1" applyFont="1" applyFill="1" applyBorder="1" applyAlignment="1">
      <alignment horizontal="left"/>
    </xf>
    <xf numFmtId="49" fontId="4" fillId="5" borderId="156" xfId="5" applyNumberFormat="1" applyFont="1" applyFill="1" applyBorder="1"/>
    <xf numFmtId="0" fontId="4" fillId="5" borderId="156" xfId="21" applyFont="1" applyFill="1" applyBorder="1"/>
    <xf numFmtId="0" fontId="4" fillId="5" borderId="156" xfId="21" applyFont="1" applyFill="1" applyBorder="1" applyAlignment="1"/>
    <xf numFmtId="0" fontId="4" fillId="0" borderId="157" xfId="21" applyNumberFormat="1" applyFont="1" applyFill="1" applyBorder="1" applyAlignment="1">
      <alignment horizontal="left"/>
    </xf>
    <xf numFmtId="49" fontId="4" fillId="0" borderId="157" xfId="5" applyNumberFormat="1" applyFont="1" applyFill="1" applyBorder="1"/>
    <xf numFmtId="0" fontId="4" fillId="0" borderId="157" xfId="22" applyFont="1" applyBorder="1" applyAlignment="1"/>
    <xf numFmtId="0" fontId="4" fillId="0" borderId="157" xfId="21" applyFont="1" applyFill="1" applyBorder="1" applyAlignment="1"/>
    <xf numFmtId="14" fontId="4" fillId="20" borderId="114" xfId="21" applyNumberFormat="1" applyFont="1" applyFill="1" applyBorder="1" applyAlignment="1">
      <alignment horizontal="left"/>
    </xf>
    <xf numFmtId="49" fontId="4" fillId="20" borderId="114" xfId="5" applyNumberFormat="1" applyFont="1" applyFill="1" applyBorder="1"/>
    <xf numFmtId="0" fontId="4" fillId="20" borderId="114" xfId="21" applyFont="1" applyFill="1" applyBorder="1" applyAlignment="1"/>
    <xf numFmtId="0" fontId="20" fillId="5" borderId="156" xfId="33" applyFill="1" applyBorder="1"/>
    <xf numFmtId="0" fontId="4" fillId="8" borderId="116" xfId="33" applyFont="1" applyFill="1" applyBorder="1" applyAlignment="1">
      <alignment vertical="center"/>
    </xf>
    <xf numFmtId="49" fontId="4" fillId="8" borderId="116" xfId="5" applyNumberFormat="1" applyFont="1" applyFill="1" applyBorder="1"/>
    <xf numFmtId="0" fontId="4" fillId="8" borderId="116" xfId="22" applyFont="1" applyFill="1" applyBorder="1" applyAlignment="1"/>
    <xf numFmtId="0" fontId="4" fillId="8" borderId="116" xfId="21" applyFont="1" applyFill="1" applyBorder="1" applyAlignment="1"/>
    <xf numFmtId="0" fontId="4" fillId="5" borderId="4" xfId="21" applyNumberFormat="1" applyFont="1" applyFill="1" applyBorder="1" applyAlignment="1">
      <alignment horizontal="left"/>
    </xf>
    <xf numFmtId="49" fontId="4" fillId="5" borderId="161" xfId="5" applyNumberFormat="1" applyFont="1" applyFill="1" applyBorder="1"/>
    <xf numFmtId="0" fontId="4" fillId="5" borderId="161" xfId="21" applyFont="1" applyFill="1" applyBorder="1"/>
    <xf numFmtId="0" fontId="4" fillId="5" borderId="161" xfId="21" applyFont="1" applyFill="1" applyBorder="1" applyAlignment="1"/>
    <xf numFmtId="0" fontId="4" fillId="5" borderId="55" xfId="21" applyNumberFormat="1" applyFont="1" applyFill="1" applyBorder="1" applyAlignment="1">
      <alignment horizontal="left"/>
    </xf>
    <xf numFmtId="49" fontId="4" fillId="5" borderId="162" xfId="5" applyNumberFormat="1" applyFont="1" applyFill="1" applyBorder="1"/>
    <xf numFmtId="0" fontId="4" fillId="5" borderId="162" xfId="21" applyFont="1" applyFill="1" applyBorder="1"/>
    <xf numFmtId="0" fontId="4" fillId="5" borderId="162" xfId="21" applyFont="1" applyFill="1" applyBorder="1" applyAlignment="1"/>
    <xf numFmtId="0" fontId="18" fillId="11" borderId="0" xfId="21" quotePrefix="1" applyNumberFormat="1" applyFont="1" applyFill="1" applyBorder="1" applyAlignment="1">
      <alignment horizontal="left" vertical="center"/>
    </xf>
    <xf numFmtId="20" fontId="4" fillId="11" borderId="0" xfId="21" applyNumberFormat="1" applyFont="1" applyFill="1" applyBorder="1" applyAlignment="1">
      <alignment horizontal="left" vertical="center"/>
    </xf>
    <xf numFmtId="0" fontId="0" fillId="0" borderId="48" xfId="0" applyNumberFormat="1" applyFont="1" applyFill="1" applyBorder="1" applyAlignment="1">
      <alignment horizontal="center" vertical="center"/>
    </xf>
    <xf numFmtId="0" fontId="0" fillId="18" borderId="48" xfId="0" applyNumberFormat="1" applyFont="1" applyFill="1" applyBorder="1" applyAlignment="1">
      <alignment horizontal="center" vertical="center"/>
    </xf>
    <xf numFmtId="0" fontId="0" fillId="8" borderId="48" xfId="0" applyNumberFormat="1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8" borderId="48" xfId="0" applyFill="1" applyBorder="1" applyAlignment="1">
      <alignment horizontal="center" vertical="center"/>
    </xf>
    <xf numFmtId="0" fontId="4" fillId="5" borderId="4" xfId="21" applyNumberFormat="1" applyFont="1" applyFill="1" applyBorder="1" applyAlignment="1">
      <alignment horizontal="left" vertical="center"/>
    </xf>
    <xf numFmtId="49" fontId="4" fillId="5" borderId="161" xfId="5" applyNumberFormat="1" applyFont="1" applyFill="1" applyBorder="1" applyAlignment="1">
      <alignment vertical="center"/>
    </xf>
    <xf numFmtId="0" fontId="4" fillId="5" borderId="161" xfId="21" applyFont="1" applyFill="1" applyBorder="1" applyAlignment="1">
      <alignment wrapText="1"/>
    </xf>
    <xf numFmtId="0" fontId="4" fillId="5" borderId="161" xfId="21" applyFont="1" applyFill="1" applyBorder="1" applyAlignment="1">
      <alignment vertical="center"/>
    </xf>
    <xf numFmtId="0" fontId="20" fillId="5" borderId="161" xfId="33" applyFill="1" applyBorder="1" applyAlignment="1">
      <alignment vertical="center"/>
    </xf>
    <xf numFmtId="0" fontId="58" fillId="5" borderId="161" xfId="33" applyFont="1" applyFill="1" applyBorder="1" applyAlignment="1">
      <alignment vertical="center"/>
    </xf>
    <xf numFmtId="0" fontId="4" fillId="5" borderId="161" xfId="6" applyFont="1" applyFill="1" applyBorder="1" applyAlignment="1">
      <alignment horizontal="left" vertical="center"/>
    </xf>
    <xf numFmtId="166" fontId="4" fillId="5" borderId="161" xfId="21" applyNumberFormat="1" applyFont="1" applyFill="1" applyBorder="1" applyAlignment="1">
      <alignment horizontal="center" vertical="center"/>
    </xf>
    <xf numFmtId="167" fontId="4" fillId="5" borderId="4" xfId="21" applyNumberFormat="1" applyFont="1" applyFill="1" applyBorder="1" applyAlignment="1">
      <alignment horizontal="center" vertical="center"/>
    </xf>
    <xf numFmtId="0" fontId="0" fillId="0" borderId="114" xfId="14" applyFont="1" applyFill="1" applyBorder="1" applyAlignment="1"/>
    <xf numFmtId="0" fontId="0" fillId="18" borderId="48" xfId="0" applyFill="1" applyBorder="1" applyAlignment="1">
      <alignment horizontal="center" vertical="center"/>
    </xf>
    <xf numFmtId="0" fontId="18" fillId="19" borderId="63" xfId="5" applyFont="1" applyFill="1" applyBorder="1" applyAlignment="1"/>
    <xf numFmtId="0" fontId="4" fillId="0" borderId="164" xfId="0" applyFont="1" applyFill="1" applyBorder="1" applyAlignment="1"/>
    <xf numFmtId="0" fontId="18" fillId="0" borderId="158" xfId="5" applyFont="1" applyFill="1" applyBorder="1" applyAlignment="1"/>
    <xf numFmtId="0" fontId="4" fillId="5" borderId="60" xfId="33" applyFont="1" applyFill="1" applyBorder="1" applyAlignment="1"/>
    <xf numFmtId="0" fontId="4" fillId="5" borderId="166" xfId="21" applyNumberFormat="1" applyFont="1" applyFill="1" applyBorder="1" applyAlignment="1">
      <alignment horizontal="left" vertical="center"/>
    </xf>
    <xf numFmtId="49" fontId="4" fillId="5" borderId="167" xfId="5" applyNumberFormat="1" applyFont="1" applyFill="1" applyBorder="1" applyAlignment="1">
      <alignment vertical="center"/>
    </xf>
    <xf numFmtId="0" fontId="4" fillId="5" borderId="167" xfId="21" applyFont="1" applyFill="1" applyBorder="1" applyAlignment="1">
      <alignment wrapText="1"/>
    </xf>
    <xf numFmtId="0" fontId="4" fillId="5" borderId="167" xfId="21" applyFont="1" applyFill="1" applyBorder="1" applyAlignment="1">
      <alignment vertical="center"/>
    </xf>
    <xf numFmtId="0" fontId="20" fillId="5" borderId="167" xfId="33" applyFill="1" applyBorder="1" applyAlignment="1">
      <alignment vertical="center"/>
    </xf>
    <xf numFmtId="0" fontId="58" fillId="5" borderId="167" xfId="33" applyFont="1" applyFill="1" applyBorder="1" applyAlignment="1">
      <alignment vertical="center"/>
    </xf>
    <xf numFmtId="0" fontId="4" fillId="5" borderId="167" xfId="6" applyFont="1" applyFill="1" applyBorder="1" applyAlignment="1">
      <alignment horizontal="left" vertical="center"/>
    </xf>
    <xf numFmtId="166" fontId="4" fillId="5" borderId="167" xfId="21" applyNumberFormat="1" applyFont="1" applyFill="1" applyBorder="1" applyAlignment="1">
      <alignment horizontal="center" vertical="center"/>
    </xf>
    <xf numFmtId="167" fontId="4" fillId="5" borderId="166" xfId="21" applyNumberFormat="1" applyFont="1" applyFill="1" applyBorder="1" applyAlignment="1">
      <alignment horizontal="center" vertical="center"/>
    </xf>
    <xf numFmtId="0" fontId="0" fillId="5" borderId="168" xfId="21" applyNumberFormat="1" applyFont="1" applyFill="1" applyBorder="1" applyAlignment="1">
      <alignment vertical="center"/>
    </xf>
    <xf numFmtId="49" fontId="4" fillId="5" borderId="168" xfId="5" applyNumberFormat="1" applyFont="1" applyFill="1" applyBorder="1" applyAlignment="1">
      <alignment vertical="center"/>
    </xf>
    <xf numFmtId="0" fontId="4" fillId="5" borderId="168" xfId="21" applyFont="1" applyFill="1" applyBorder="1" applyAlignment="1">
      <alignment vertical="center" wrapText="1"/>
    </xf>
    <xf numFmtId="0" fontId="4" fillId="5" borderId="168" xfId="21" applyFont="1" applyFill="1" applyBorder="1" applyAlignment="1">
      <alignment vertical="center"/>
    </xf>
    <xf numFmtId="0" fontId="20" fillId="5" borderId="168" xfId="33" applyFill="1" applyBorder="1" applyAlignment="1">
      <alignment vertical="center"/>
    </xf>
    <xf numFmtId="0" fontId="58" fillId="5" borderId="168" xfId="33" applyFont="1" applyFill="1" applyBorder="1" applyAlignment="1">
      <alignment vertical="center"/>
    </xf>
    <xf numFmtId="0" fontId="4" fillId="5" borderId="168" xfId="6" applyFont="1" applyFill="1" applyBorder="1" applyAlignment="1">
      <alignment vertical="center"/>
    </xf>
    <xf numFmtId="166" fontId="4" fillId="5" borderId="168" xfId="21" applyNumberFormat="1" applyFont="1" applyFill="1" applyBorder="1" applyAlignment="1">
      <alignment horizontal="center" vertical="center"/>
    </xf>
    <xf numFmtId="167" fontId="4" fillId="5" borderId="168" xfId="21" applyNumberFormat="1" applyFont="1" applyFill="1" applyBorder="1" applyAlignment="1">
      <alignment horizontal="center" vertical="center"/>
    </xf>
    <xf numFmtId="0" fontId="4" fillId="5" borderId="169" xfId="21" applyNumberFormat="1" applyFont="1" applyFill="1" applyBorder="1" applyAlignment="1">
      <alignment horizontal="left"/>
    </xf>
    <xf numFmtId="49" fontId="4" fillId="5" borderId="169" xfId="5" applyNumberFormat="1" applyFont="1" applyFill="1" applyBorder="1"/>
    <xf numFmtId="0" fontId="4" fillId="5" borderId="169" xfId="21" applyFont="1" applyFill="1" applyBorder="1"/>
    <xf numFmtId="0" fontId="4" fillId="5" borderId="169" xfId="21" applyFont="1" applyFill="1" applyBorder="1" applyAlignment="1"/>
    <xf numFmtId="0" fontId="20" fillId="5" borderId="169" xfId="33" applyFill="1" applyBorder="1"/>
    <xf numFmtId="0" fontId="58" fillId="5" borderId="169" xfId="33" applyFont="1" applyFill="1" applyBorder="1" applyAlignment="1"/>
    <xf numFmtId="0" fontId="4" fillId="5" borderId="169" xfId="6" applyFont="1" applyFill="1" applyBorder="1" applyAlignment="1">
      <alignment horizontal="left"/>
    </xf>
    <xf numFmtId="166" fontId="4" fillId="5" borderId="169" xfId="21" applyNumberFormat="1" applyFont="1" applyFill="1" applyBorder="1" applyAlignment="1">
      <alignment horizontal="center"/>
    </xf>
    <xf numFmtId="167" fontId="1" fillId="5" borderId="170" xfId="21" applyNumberFormat="1" applyFont="1" applyFill="1" applyBorder="1" applyAlignment="1">
      <alignment horizontal="center"/>
    </xf>
    <xf numFmtId="0" fontId="18" fillId="11" borderId="171" xfId="21" quotePrefix="1" applyNumberFormat="1" applyFont="1" applyFill="1" applyBorder="1" applyAlignment="1">
      <alignment horizontal="left" vertical="center"/>
    </xf>
    <xf numFmtId="20" fontId="4" fillId="11" borderId="171" xfId="21" applyNumberFormat="1" applyFont="1" applyFill="1" applyBorder="1" applyAlignment="1">
      <alignment horizontal="left" vertical="center"/>
    </xf>
    <xf numFmtId="0" fontId="4" fillId="0" borderId="171" xfId="21" applyFont="1" applyFill="1" applyBorder="1" applyAlignment="1">
      <alignment vertical="center"/>
    </xf>
    <xf numFmtId="0" fontId="23" fillId="0" borderId="171" xfId="21" applyFont="1" applyFill="1" applyBorder="1" applyAlignment="1">
      <alignment vertical="center"/>
    </xf>
    <xf numFmtId="0" fontId="4" fillId="0" borderId="171" xfId="21" applyFont="1" applyFill="1" applyBorder="1" applyAlignment="1"/>
    <xf numFmtId="165" fontId="4" fillId="0" borderId="171" xfId="21" applyNumberFormat="1" applyFont="1" applyFill="1" applyBorder="1" applyAlignment="1">
      <alignment horizontal="center" vertical="center"/>
    </xf>
    <xf numFmtId="167" fontId="4" fillId="0" borderId="171" xfId="21" applyNumberFormat="1" applyFont="1" applyFill="1" applyBorder="1" applyAlignment="1">
      <alignment horizontal="center" vertical="center"/>
    </xf>
    <xf numFmtId="0" fontId="4" fillId="0" borderId="10" xfId="5" applyFont="1" applyFill="1" applyBorder="1" applyAlignment="1"/>
    <xf numFmtId="0" fontId="4" fillId="0" borderId="165" xfId="5" applyFont="1" applyFill="1" applyBorder="1" applyAlignment="1"/>
    <xf numFmtId="0" fontId="18" fillId="0" borderId="0" xfId="22" applyFont="1" applyAlignment="1">
      <alignment horizontal="right"/>
    </xf>
    <xf numFmtId="0" fontId="1" fillId="0" borderId="3" xfId="14" applyFont="1" applyFill="1" applyBorder="1" applyAlignment="1"/>
    <xf numFmtId="0" fontId="1" fillId="0" borderId="114" xfId="8" applyFont="1" applyFill="1" applyBorder="1" applyAlignment="1"/>
    <xf numFmtId="0" fontId="18" fillId="4" borderId="5" xfId="22" applyFont="1" applyFill="1" applyBorder="1" applyAlignment="1"/>
    <xf numFmtId="0" fontId="18" fillId="4" borderId="6" xfId="22" applyFont="1" applyFill="1" applyBorder="1" applyAlignment="1"/>
    <xf numFmtId="0" fontId="1" fillId="0" borderId="16" xfId="8" applyFont="1" applyFill="1" applyBorder="1" applyAlignment="1">
      <alignment textRotation="90"/>
    </xf>
    <xf numFmtId="0" fontId="0" fillId="0" borderId="0" xfId="8" applyFont="1" applyFill="1" applyBorder="1" applyAlignment="1">
      <alignment textRotation="90"/>
    </xf>
    <xf numFmtId="0" fontId="1" fillId="0" borderId="0" xfId="8" applyFont="1" applyFill="1" applyBorder="1" applyAlignment="1">
      <alignment textRotation="90"/>
    </xf>
    <xf numFmtId="0" fontId="1" fillId="0" borderId="0" xfId="8" applyFont="1" applyFill="1" applyAlignment="1">
      <alignment textRotation="90"/>
    </xf>
    <xf numFmtId="0" fontId="58" fillId="8" borderId="25" xfId="33" applyFont="1" applyFill="1" applyBorder="1" applyAlignment="1"/>
  </cellXfs>
  <cellStyles count="36">
    <cellStyle name="Hyperlink" xfId="33" builtinId="8"/>
    <cellStyle name="Hyperlink 2" xfId="1"/>
    <cellStyle name="Hyperlink 2 2" xfId="2"/>
    <cellStyle name="Hyperlink 3" xfId="3"/>
    <cellStyle name="Hyperlink 3 2" xfId="4"/>
    <cellStyle name="Normal" xfId="0" builtinId="0"/>
    <cellStyle name="Normal 2" xfId="5"/>
    <cellStyle name="Normal 2 2" xfId="6"/>
    <cellStyle name="Normal 2 2 2" xfId="7"/>
    <cellStyle name="Normal 2 2 2 2" xfId="8"/>
    <cellStyle name="Normal 2 2 3" xfId="9"/>
    <cellStyle name="Normal 2 2 4" xfId="10"/>
    <cellStyle name="Normal 2 3" xfId="11"/>
    <cellStyle name="Normal 2 3 2" xfId="12"/>
    <cellStyle name="Normal 2 4" xfId="13"/>
    <cellStyle name="Normal 2 4 2" xfId="32"/>
    <cellStyle name="Normal 2 5" xfId="14"/>
    <cellStyle name="Normal 2 5 2 2" xfId="34"/>
    <cellStyle name="Normal 3" xfId="15"/>
    <cellStyle name="Normal 3 2" xfId="16"/>
    <cellStyle name="Normal 3 3" xfId="17"/>
    <cellStyle name="Normal 3 4" xfId="18"/>
    <cellStyle name="Normal 4" xfId="19"/>
    <cellStyle name="Normal 4 2" xfId="20"/>
    <cellStyle name="Normal 4 3" xfId="21"/>
    <cellStyle name="Normal 5" xfId="22"/>
    <cellStyle name="Normal 5 3 2" xfId="35"/>
    <cellStyle name="Normal 6" xfId="23"/>
    <cellStyle name="Normal 6 2" xfId="24"/>
    <cellStyle name="Normal 6 2 2" xfId="25"/>
    <cellStyle name="Normal 6 3" xfId="26"/>
    <cellStyle name="Normal 6 4" xfId="27"/>
    <cellStyle name="Normal 7" xfId="28"/>
    <cellStyle name="Normal 8" xfId="29"/>
    <cellStyle name="Normal 9" xfId="30"/>
    <cellStyle name="WinCalendar_BlankCells_35" xfId="31"/>
  </cellStyles>
  <dxfs count="1219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70C0"/>
      </font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ont>
        <strike/>
        <color rgb="FF00B0F0"/>
      </font>
    </dxf>
    <dxf>
      <font>
        <color theme="0"/>
      </font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CC"/>
        </patternFill>
      </fill>
    </dxf>
    <dxf>
      <font>
        <color rgb="FFCC0000"/>
      </font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font>
        <color theme="4" tint="-0.24994659260841701"/>
      </font>
    </dxf>
    <dxf>
      <font>
        <color theme="0"/>
      </font>
    </dxf>
    <dxf>
      <font>
        <b/>
        <i val="0"/>
      </font>
    </dxf>
    <dxf>
      <font>
        <color theme="4" tint="-0.24994659260841701"/>
      </font>
    </dxf>
    <dxf>
      <font>
        <color theme="4" tint="-0.24994659260841701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FFCC"/>
      <color rgb="FFFFFF99"/>
      <color rgb="FFFFCC99"/>
      <color rgb="FFFFFFCC"/>
      <color rgb="FFFFE7FF"/>
      <color rgb="FF99FF99"/>
      <color rgb="FFFFEFFF"/>
      <color rgb="FFFFF3FF"/>
      <color rgb="FFFFC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1428750</xdr:colOff>
      <xdr:row>10</xdr:row>
      <xdr:rowOff>133350</xdr:rowOff>
    </xdr:from>
    <xdr:ext cx="180975" cy="193902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2400300"/>
          <a:ext cx="180975" cy="193902"/>
        </a:xfrm>
        <a:prstGeom prst="rect">
          <a:avLst/>
        </a:prstGeom>
      </xdr:spPr>
    </xdr:pic>
    <xdr:clientData/>
  </xdr:oneCellAnchor>
  <xdr:twoCellAnchor editAs="oneCell">
    <xdr:from>
      <xdr:col>2</xdr:col>
      <xdr:colOff>1476375</xdr:colOff>
      <xdr:row>13</xdr:row>
      <xdr:rowOff>142875</xdr:rowOff>
    </xdr:from>
    <xdr:to>
      <xdr:col>2</xdr:col>
      <xdr:colOff>1632153</xdr:colOff>
      <xdr:row>15</xdr:row>
      <xdr:rowOff>14860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2895600"/>
          <a:ext cx="155778" cy="195835"/>
        </a:xfrm>
        <a:prstGeom prst="rect">
          <a:avLst/>
        </a:prstGeom>
      </xdr:spPr>
    </xdr:pic>
    <xdr:clientData/>
  </xdr:twoCellAnchor>
  <xdr:twoCellAnchor editAs="oneCell">
    <xdr:from>
      <xdr:col>2</xdr:col>
      <xdr:colOff>1314451</xdr:colOff>
      <xdr:row>18</xdr:row>
      <xdr:rowOff>152400</xdr:rowOff>
    </xdr:from>
    <xdr:to>
      <xdr:col>2</xdr:col>
      <xdr:colOff>1685527</xdr:colOff>
      <xdr:row>20</xdr:row>
      <xdr:rowOff>75934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6" y="3076575"/>
          <a:ext cx="371076" cy="247384"/>
        </a:xfrm>
        <a:prstGeom prst="rect">
          <a:avLst/>
        </a:prstGeom>
      </xdr:spPr>
    </xdr:pic>
    <xdr:clientData/>
  </xdr:twoCellAnchor>
  <xdr:twoCellAnchor editAs="oneCell">
    <xdr:from>
      <xdr:col>2</xdr:col>
      <xdr:colOff>1485900</xdr:colOff>
      <xdr:row>7</xdr:row>
      <xdr:rowOff>142875</xdr:rowOff>
    </xdr:from>
    <xdr:to>
      <xdr:col>2</xdr:col>
      <xdr:colOff>1641678</xdr:colOff>
      <xdr:row>9</xdr:row>
      <xdr:rowOff>14860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1276350"/>
          <a:ext cx="155778" cy="195835"/>
        </a:xfrm>
        <a:prstGeom prst="rect">
          <a:avLst/>
        </a:prstGeom>
      </xdr:spPr>
    </xdr:pic>
    <xdr:clientData/>
  </xdr:twoCellAnchor>
  <xdr:twoCellAnchor editAs="oneCell">
    <xdr:from>
      <xdr:col>2</xdr:col>
      <xdr:colOff>1609725</xdr:colOff>
      <xdr:row>21</xdr:row>
      <xdr:rowOff>142875</xdr:rowOff>
    </xdr:from>
    <xdr:to>
      <xdr:col>2</xdr:col>
      <xdr:colOff>1765503</xdr:colOff>
      <xdr:row>23</xdr:row>
      <xdr:rowOff>14860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0" y="3543300"/>
          <a:ext cx="155778" cy="195835"/>
        </a:xfrm>
        <a:prstGeom prst="rect">
          <a:avLst/>
        </a:prstGeom>
      </xdr:spPr>
    </xdr:pic>
    <xdr:clientData/>
  </xdr:twoCellAnchor>
  <xdr:twoCellAnchor editAs="oneCell">
    <xdr:from>
      <xdr:col>2</xdr:col>
      <xdr:colOff>1573538</xdr:colOff>
      <xdr:row>26</xdr:row>
      <xdr:rowOff>171450</xdr:rowOff>
    </xdr:from>
    <xdr:to>
      <xdr:col>2</xdr:col>
      <xdr:colOff>1727403</xdr:colOff>
      <xdr:row>27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3213" y="4391025"/>
          <a:ext cx="153865" cy="171450"/>
        </a:xfrm>
        <a:prstGeom prst="rect">
          <a:avLst/>
        </a:prstGeom>
      </xdr:spPr>
    </xdr:pic>
    <xdr:clientData/>
  </xdr:twoCellAnchor>
  <xdr:oneCellAnchor>
    <xdr:from>
      <xdr:col>2</xdr:col>
      <xdr:colOff>1573538</xdr:colOff>
      <xdr:row>27</xdr:row>
      <xdr:rowOff>171450</xdr:rowOff>
    </xdr:from>
    <xdr:ext cx="153865" cy="171450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3213" y="4391025"/>
          <a:ext cx="153865" cy="1714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1009650</xdr:colOff>
      <xdr:row>85</xdr:row>
      <xdr:rowOff>76200</xdr:rowOff>
    </xdr:from>
    <xdr:to>
      <xdr:col>10</xdr:col>
      <xdr:colOff>1012718</xdr:colOff>
      <xdr:row>87</xdr:row>
      <xdr:rowOff>44983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16811625"/>
          <a:ext cx="3068" cy="292633"/>
        </a:xfrm>
        <a:prstGeom prst="rect">
          <a:avLst/>
        </a:prstGeom>
      </xdr:spPr>
    </xdr:pic>
    <xdr:clientData/>
  </xdr:twoCellAnchor>
  <xdr:oneCellAnchor>
    <xdr:from>
      <xdr:col>8</xdr:col>
      <xdr:colOff>638175</xdr:colOff>
      <xdr:row>40</xdr:row>
      <xdr:rowOff>28575</xdr:rowOff>
    </xdr:from>
    <xdr:ext cx="257175" cy="275545"/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4514850"/>
          <a:ext cx="257175" cy="275545"/>
        </a:xfrm>
        <a:prstGeom prst="rect">
          <a:avLst/>
        </a:prstGeom>
      </xdr:spPr>
    </xdr:pic>
    <xdr:clientData/>
  </xdr:oneCellAnchor>
  <xdr:oneCellAnchor>
    <xdr:from>
      <xdr:col>10</xdr:col>
      <xdr:colOff>1193006</xdr:colOff>
      <xdr:row>30</xdr:row>
      <xdr:rowOff>28575</xdr:rowOff>
    </xdr:from>
    <xdr:ext cx="226228" cy="284400"/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6256" y="2857500"/>
          <a:ext cx="226228" cy="284400"/>
        </a:xfrm>
        <a:prstGeom prst="rect">
          <a:avLst/>
        </a:prstGeom>
      </xdr:spPr>
    </xdr:pic>
    <xdr:clientData/>
  </xdr:oneCellAnchor>
  <xdr:oneCellAnchor>
    <xdr:from>
      <xdr:col>12</xdr:col>
      <xdr:colOff>1088231</xdr:colOff>
      <xdr:row>52</xdr:row>
      <xdr:rowOff>0</xdr:rowOff>
    </xdr:from>
    <xdr:ext cx="226228" cy="284400"/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8831" y="6477000"/>
          <a:ext cx="226228" cy="284400"/>
        </a:xfrm>
        <a:prstGeom prst="rect">
          <a:avLst/>
        </a:prstGeom>
      </xdr:spPr>
    </xdr:pic>
    <xdr:clientData/>
  </xdr:oneCellAnchor>
  <xdr:twoCellAnchor editAs="oneCell">
    <xdr:from>
      <xdr:col>10</xdr:col>
      <xdr:colOff>1117855</xdr:colOff>
      <xdr:row>48</xdr:row>
      <xdr:rowOff>19050</xdr:rowOff>
    </xdr:from>
    <xdr:to>
      <xdr:col>10</xdr:col>
      <xdr:colOff>1346455</xdr:colOff>
      <xdr:row>50</xdr:row>
      <xdr:rowOff>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1105" y="5838825"/>
          <a:ext cx="228600" cy="304800"/>
        </a:xfrm>
        <a:prstGeom prst="rect">
          <a:avLst/>
        </a:prstGeom>
      </xdr:spPr>
    </xdr:pic>
    <xdr:clientData/>
  </xdr:twoCellAnchor>
  <xdr:oneCellAnchor>
    <xdr:from>
      <xdr:col>10</xdr:col>
      <xdr:colOff>1127380</xdr:colOff>
      <xdr:row>51</xdr:row>
      <xdr:rowOff>28575</xdr:rowOff>
    </xdr:from>
    <xdr:ext cx="228600" cy="304800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0630" y="6343650"/>
          <a:ext cx="228600" cy="304800"/>
        </a:xfrm>
        <a:prstGeom prst="rect">
          <a:avLst/>
        </a:prstGeom>
      </xdr:spPr>
    </xdr:pic>
    <xdr:clientData/>
  </xdr:oneCellAnchor>
  <xdr:oneCellAnchor>
    <xdr:from>
      <xdr:col>10</xdr:col>
      <xdr:colOff>1155955</xdr:colOff>
      <xdr:row>61</xdr:row>
      <xdr:rowOff>28575</xdr:rowOff>
    </xdr:from>
    <xdr:ext cx="228600" cy="304800"/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205" y="8001000"/>
          <a:ext cx="228600" cy="304800"/>
        </a:xfrm>
        <a:prstGeom prst="rect">
          <a:avLst/>
        </a:prstGeom>
      </xdr:spPr>
    </xdr:pic>
    <xdr:clientData/>
  </xdr:oneCellAnchor>
  <xdr:oneCellAnchor>
    <xdr:from>
      <xdr:col>12</xdr:col>
      <xdr:colOff>1155955</xdr:colOff>
      <xdr:row>61</xdr:row>
      <xdr:rowOff>28575</xdr:rowOff>
    </xdr:from>
    <xdr:ext cx="228600" cy="304800"/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3705" y="8001000"/>
          <a:ext cx="228600" cy="304800"/>
        </a:xfrm>
        <a:prstGeom prst="rect">
          <a:avLst/>
        </a:prstGeom>
      </xdr:spPr>
    </xdr:pic>
    <xdr:clientData/>
  </xdr:oneCellAnchor>
  <xdr:twoCellAnchor editAs="oneCell">
    <xdr:from>
      <xdr:col>10</xdr:col>
      <xdr:colOff>1104900</xdr:colOff>
      <xdr:row>73</xdr:row>
      <xdr:rowOff>19050</xdr:rowOff>
    </xdr:from>
    <xdr:to>
      <xdr:col>10</xdr:col>
      <xdr:colOff>1351230</xdr:colOff>
      <xdr:row>75</xdr:row>
      <xdr:rowOff>1200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9486900"/>
          <a:ext cx="246330" cy="306000"/>
        </a:xfrm>
        <a:prstGeom prst="rect">
          <a:avLst/>
        </a:prstGeom>
      </xdr:spPr>
    </xdr:pic>
    <xdr:clientData/>
  </xdr:twoCellAnchor>
  <xdr:oneCellAnchor>
    <xdr:from>
      <xdr:col>12</xdr:col>
      <xdr:colOff>1123950</xdr:colOff>
      <xdr:row>83</xdr:row>
      <xdr:rowOff>38100</xdr:rowOff>
    </xdr:from>
    <xdr:ext cx="286803" cy="191202"/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1334750"/>
          <a:ext cx="286803" cy="191202"/>
        </a:xfrm>
        <a:prstGeom prst="rect">
          <a:avLst/>
        </a:prstGeom>
      </xdr:spPr>
    </xdr:pic>
    <xdr:clientData/>
  </xdr:oneCellAnchor>
  <xdr:oneCellAnchor>
    <xdr:from>
      <xdr:col>10</xdr:col>
      <xdr:colOff>1117855</xdr:colOff>
      <xdr:row>84</xdr:row>
      <xdr:rowOff>19050</xdr:rowOff>
    </xdr:from>
    <xdr:ext cx="228600" cy="304800"/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1105" y="11477625"/>
          <a:ext cx="228600" cy="304800"/>
        </a:xfrm>
        <a:prstGeom prst="rect">
          <a:avLst/>
        </a:prstGeom>
      </xdr:spPr>
    </xdr:pic>
    <xdr:clientData/>
  </xdr:oneCellAnchor>
  <xdr:oneCellAnchor>
    <xdr:from>
      <xdr:col>10</xdr:col>
      <xdr:colOff>1127380</xdr:colOff>
      <xdr:row>103</xdr:row>
      <xdr:rowOff>9525</xdr:rowOff>
    </xdr:from>
    <xdr:ext cx="228600" cy="304800"/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0630" y="13944600"/>
          <a:ext cx="228600" cy="304800"/>
        </a:xfrm>
        <a:prstGeom prst="rect">
          <a:avLst/>
        </a:prstGeom>
      </xdr:spPr>
    </xdr:pic>
    <xdr:clientData/>
  </xdr:oneCellAnchor>
  <xdr:oneCellAnchor>
    <xdr:from>
      <xdr:col>12</xdr:col>
      <xdr:colOff>1298830</xdr:colOff>
      <xdr:row>86</xdr:row>
      <xdr:rowOff>47625</xdr:rowOff>
    </xdr:from>
    <xdr:ext cx="228600" cy="304800"/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6105" y="11830050"/>
          <a:ext cx="228600" cy="304800"/>
        </a:xfrm>
        <a:prstGeom prst="rect">
          <a:avLst/>
        </a:prstGeom>
      </xdr:spPr>
    </xdr:pic>
    <xdr:clientData/>
  </xdr:oneCellAnchor>
  <xdr:oneCellAnchor>
    <xdr:from>
      <xdr:col>12</xdr:col>
      <xdr:colOff>1146430</xdr:colOff>
      <xdr:row>92</xdr:row>
      <xdr:rowOff>28575</xdr:rowOff>
    </xdr:from>
    <xdr:ext cx="228600" cy="304800"/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4180" y="12306300"/>
          <a:ext cx="228600" cy="304800"/>
        </a:xfrm>
        <a:prstGeom prst="rect">
          <a:avLst/>
        </a:prstGeom>
      </xdr:spPr>
    </xdr:pic>
    <xdr:clientData/>
  </xdr:oneCellAnchor>
  <xdr:oneCellAnchor>
    <xdr:from>
      <xdr:col>12</xdr:col>
      <xdr:colOff>1123950</xdr:colOff>
      <xdr:row>102</xdr:row>
      <xdr:rowOff>47625</xdr:rowOff>
    </xdr:from>
    <xdr:ext cx="286803" cy="191202"/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3811250"/>
          <a:ext cx="286803" cy="191202"/>
        </a:xfrm>
        <a:prstGeom prst="rect">
          <a:avLst/>
        </a:prstGeom>
      </xdr:spPr>
    </xdr:pic>
    <xdr:clientData/>
  </xdr:oneCellAnchor>
  <xdr:twoCellAnchor editAs="oneCell">
    <xdr:from>
      <xdr:col>12</xdr:col>
      <xdr:colOff>938611</xdr:colOff>
      <xdr:row>71</xdr:row>
      <xdr:rowOff>266</xdr:rowOff>
    </xdr:from>
    <xdr:to>
      <xdr:col>12</xdr:col>
      <xdr:colOff>1409700</xdr:colOff>
      <xdr:row>72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9686" y="9658616"/>
          <a:ext cx="471089" cy="314059"/>
        </a:xfrm>
        <a:prstGeom prst="rect">
          <a:avLst/>
        </a:prstGeom>
      </xdr:spPr>
    </xdr:pic>
    <xdr:clientData/>
  </xdr:twoCellAnchor>
  <xdr:oneCellAnchor>
    <xdr:from>
      <xdr:col>12</xdr:col>
      <xdr:colOff>1193006</xdr:colOff>
      <xdr:row>77</xdr:row>
      <xdr:rowOff>28575</xdr:rowOff>
    </xdr:from>
    <xdr:ext cx="226228" cy="284400"/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6256" y="2857500"/>
          <a:ext cx="226228" cy="284400"/>
        </a:xfrm>
        <a:prstGeom prst="rect">
          <a:avLst/>
        </a:prstGeom>
      </xdr:spPr>
    </xdr:pic>
    <xdr:clientData/>
  </xdr:oneCellAnchor>
  <xdr:oneCellAnchor>
    <xdr:from>
      <xdr:col>10</xdr:col>
      <xdr:colOff>1146430</xdr:colOff>
      <xdr:row>92</xdr:row>
      <xdr:rowOff>28575</xdr:rowOff>
    </xdr:from>
    <xdr:ext cx="228600" cy="304800"/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9680" y="12668250"/>
          <a:ext cx="228600" cy="304800"/>
        </a:xfrm>
        <a:prstGeom prst="rect">
          <a:avLst/>
        </a:prstGeom>
      </xdr:spPr>
    </xdr:pic>
    <xdr:clientData/>
  </xdr:oneCellAnchor>
  <xdr:twoCellAnchor editAs="oneCell">
    <xdr:from>
      <xdr:col>13</xdr:col>
      <xdr:colOff>4641</xdr:colOff>
      <xdr:row>100</xdr:row>
      <xdr:rowOff>28575</xdr:rowOff>
    </xdr:from>
    <xdr:to>
      <xdr:col>13</xdr:col>
      <xdr:colOff>184151</xdr:colOff>
      <xdr:row>101</xdr:row>
      <xdr:rowOff>66675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3516" y="14468475"/>
          <a:ext cx="179510" cy="200025"/>
        </a:xfrm>
        <a:prstGeom prst="rect">
          <a:avLst/>
        </a:prstGeom>
      </xdr:spPr>
    </xdr:pic>
    <xdr:clientData/>
  </xdr:twoCellAnchor>
  <xdr:oneCellAnchor>
    <xdr:from>
      <xdr:col>13</xdr:col>
      <xdr:colOff>4641</xdr:colOff>
      <xdr:row>107</xdr:row>
      <xdr:rowOff>28575</xdr:rowOff>
    </xdr:from>
    <xdr:ext cx="179510" cy="200025"/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3516" y="14468475"/>
          <a:ext cx="179510" cy="2000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409372</xdr:colOff>
      <xdr:row>2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401759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9"/>
  <sheetViews>
    <sheetView showGridLines="0" showRowColHeaders="0" zoomScaleNormal="100" workbookViewId="0">
      <pane ySplit="3" topLeftCell="A4" activePane="bottomLeft" state="frozen"/>
      <selection pane="bottomLeft" activeCell="I1" sqref="I1"/>
    </sheetView>
  </sheetViews>
  <sheetFormatPr defaultRowHeight="12.75" x14ac:dyDescent="0.2"/>
  <cols>
    <col min="1" max="1" width="12.5703125" style="1" customWidth="1"/>
    <col min="2" max="2" width="5.5703125" style="1" customWidth="1"/>
    <col min="3" max="3" width="28.5703125" style="1" bestFit="1" customWidth="1"/>
    <col min="4" max="4" width="8" style="1" customWidth="1"/>
    <col min="5" max="5" width="6.5703125" style="1" customWidth="1"/>
    <col min="6" max="6" width="15.42578125" style="1" customWidth="1"/>
    <col min="7" max="7" width="10" style="1" customWidth="1"/>
    <col min="8" max="8" width="4.5703125" style="1" customWidth="1"/>
    <col min="9" max="9" width="4.7109375" style="1" customWidth="1"/>
    <col min="10" max="16384" width="9.140625" style="1"/>
  </cols>
  <sheetData>
    <row r="1" spans="1:10" x14ac:dyDescent="0.2">
      <c r="A1" s="4" t="s">
        <v>245</v>
      </c>
      <c r="B1" s="5"/>
      <c r="C1" s="6"/>
      <c r="D1" s="7"/>
      <c r="F1" s="392" t="s">
        <v>366</v>
      </c>
      <c r="G1" s="9" t="str">
        <f>HYPERLINK("","")</f>
        <v/>
      </c>
      <c r="H1" s="10"/>
      <c r="I1" s="11"/>
      <c r="J1" s="11"/>
    </row>
    <row r="2" spans="1:10" x14ac:dyDescent="0.2">
      <c r="A2" s="12"/>
      <c r="B2" s="13"/>
      <c r="C2" s="6"/>
      <c r="D2" s="7"/>
      <c r="E2" s="14"/>
      <c r="F2" s="14"/>
      <c r="G2" s="6"/>
      <c r="H2" s="15"/>
      <c r="I2" s="6"/>
      <c r="J2" s="6"/>
    </row>
    <row r="3" spans="1:10" x14ac:dyDescent="0.2">
      <c r="A3" s="16" t="s">
        <v>30</v>
      </c>
      <c r="B3" s="17" t="s">
        <v>31</v>
      </c>
      <c r="C3" s="18" t="s">
        <v>32</v>
      </c>
      <c r="D3" s="19" t="s">
        <v>33</v>
      </c>
      <c r="E3" s="20" t="s">
        <v>17</v>
      </c>
      <c r="F3" s="21" t="s">
        <v>34</v>
      </c>
      <c r="G3" s="19" t="s">
        <v>35</v>
      </c>
      <c r="H3" s="22" t="s">
        <v>36</v>
      </c>
      <c r="I3" s="18" t="s">
        <v>37</v>
      </c>
      <c r="J3" s="11"/>
    </row>
    <row r="4" spans="1:10" x14ac:dyDescent="0.2">
      <c r="A4" s="355" t="s">
        <v>243</v>
      </c>
      <c r="B4" s="387"/>
      <c r="C4" s="25"/>
      <c r="D4" s="25"/>
      <c r="E4" s="388"/>
      <c r="F4" s="25"/>
      <c r="G4" s="26"/>
      <c r="H4" s="389"/>
      <c r="I4" s="390"/>
      <c r="J4" s="23"/>
    </row>
    <row r="5" spans="1:10" x14ac:dyDescent="0.2">
      <c r="A5" s="853" t="s">
        <v>248</v>
      </c>
      <c r="B5" s="854" t="s">
        <v>40</v>
      </c>
      <c r="C5" s="855" t="s">
        <v>241</v>
      </c>
      <c r="D5" s="856" t="s">
        <v>38</v>
      </c>
      <c r="E5" s="391"/>
      <c r="F5" s="793" t="str">
        <f>HYPERLINK("https://kaart.delfi.ee/?bookmark=236e0f8de3f3d8e7138807663f9b5d14","Voka petangihall")</f>
        <v>Voka petangihall</v>
      </c>
      <c r="G5" s="794" t="s">
        <v>39</v>
      </c>
      <c r="H5" s="795">
        <v>2</v>
      </c>
      <c r="I5" s="796"/>
      <c r="J5" s="23"/>
    </row>
    <row r="6" spans="1:10" x14ac:dyDescent="0.2">
      <c r="A6" s="853" t="s">
        <v>249</v>
      </c>
      <c r="B6" s="854" t="s">
        <v>40</v>
      </c>
      <c r="C6" s="857" t="s">
        <v>240</v>
      </c>
      <c r="D6" s="856" t="s">
        <v>38</v>
      </c>
      <c r="E6" s="391"/>
      <c r="F6" s="793" t="str">
        <f>HYPERLINK("https://kaart.delfi.ee/?bookmark=236e0f8de3f3d8e7138807663f9b5d14","Voka petangihall")</f>
        <v>Voka petangihall</v>
      </c>
      <c r="G6" s="794" t="s">
        <v>39</v>
      </c>
      <c r="H6" s="795">
        <v>2</v>
      </c>
      <c r="I6" s="796"/>
      <c r="J6" s="23"/>
    </row>
    <row r="7" spans="1:10" x14ac:dyDescent="0.2">
      <c r="A7" s="858" t="s">
        <v>250</v>
      </c>
      <c r="B7" s="854" t="s">
        <v>40</v>
      </c>
      <c r="C7" s="857" t="s">
        <v>240</v>
      </c>
      <c r="D7" s="856" t="s">
        <v>38</v>
      </c>
      <c r="E7" s="391"/>
      <c r="F7" s="793" t="str">
        <f>HYPERLINK("https://kaart.delfi.ee/?bookmark=236e0f8de3f3d8e7138807663f9b5d14","Voka petangihall")</f>
        <v>Voka petangihall</v>
      </c>
      <c r="G7" s="794" t="s">
        <v>39</v>
      </c>
      <c r="H7" s="795">
        <v>2</v>
      </c>
      <c r="I7" s="796"/>
      <c r="J7" s="23"/>
    </row>
    <row r="8" spans="1:10" x14ac:dyDescent="0.2">
      <c r="A8" s="859" t="s">
        <v>244</v>
      </c>
      <c r="B8" s="860"/>
      <c r="C8" s="797"/>
      <c r="D8" s="797"/>
      <c r="E8" s="377"/>
      <c r="F8" s="797"/>
      <c r="G8" s="798"/>
      <c r="H8" s="799"/>
      <c r="I8" s="800"/>
      <c r="J8" s="23"/>
    </row>
    <row r="9" spans="1:10" x14ac:dyDescent="0.2">
      <c r="A9" s="861" t="s">
        <v>382</v>
      </c>
      <c r="B9" s="862" t="s">
        <v>40</v>
      </c>
      <c r="C9" s="863" t="s">
        <v>43</v>
      </c>
      <c r="D9" s="864" t="s">
        <v>42</v>
      </c>
      <c r="E9" s="393" t="str">
        <f>HYPERLINK("#'iv-t'!$A$5","iv-t")</f>
        <v>iv-t</v>
      </c>
      <c r="F9" s="801" t="str">
        <f>HYPERLINK("https://kaart.delfi.ee/?bookmark=236e0f8de3f3d8e7138807663f9b5d14","Voka petangihall")</f>
        <v>Voka petangihall</v>
      </c>
      <c r="G9" s="802" t="s">
        <v>39</v>
      </c>
      <c r="H9" s="803">
        <v>2</v>
      </c>
      <c r="I9" s="804">
        <v>22</v>
      </c>
      <c r="J9" s="23"/>
    </row>
    <row r="10" spans="1:10" x14ac:dyDescent="0.2">
      <c r="A10" s="865" t="s">
        <v>383</v>
      </c>
      <c r="B10" s="866" t="s">
        <v>40</v>
      </c>
      <c r="C10" s="867" t="s">
        <v>251</v>
      </c>
      <c r="D10" s="868" t="s">
        <v>38</v>
      </c>
      <c r="E10" s="350" t="str">
        <f>HYPERLINK("#V1!$A$5","V1")</f>
        <v>V1</v>
      </c>
      <c r="F10" s="805" t="str">
        <f>HYPERLINK("https://kaart.delfi.ee/?bookmark=236e0f8de3f3d8e7138807663f9b5d14","Voka petangihall")</f>
        <v>Voka petangihall</v>
      </c>
      <c r="G10" s="806" t="s">
        <v>39</v>
      </c>
      <c r="H10" s="807">
        <v>2</v>
      </c>
      <c r="I10" s="808">
        <f>V!Z52</f>
        <v>16</v>
      </c>
      <c r="J10" s="11"/>
    </row>
    <row r="11" spans="1:10" x14ac:dyDescent="0.2">
      <c r="A11" s="865" t="s">
        <v>384</v>
      </c>
      <c r="B11" s="866" t="s">
        <v>40</v>
      </c>
      <c r="C11" s="867" t="s">
        <v>252</v>
      </c>
      <c r="D11" s="868" t="s">
        <v>42</v>
      </c>
      <c r="E11" s="350" t="str">
        <f>HYPERLINK("#V2!$A$5","V2")</f>
        <v>V2</v>
      </c>
      <c r="F11" s="805" t="str">
        <f>HYPERLINK("https://kaart.delfi.ee/?bookmark=236e0f8de3f3d8e7138807663f9b5d14","Voka petangihall")</f>
        <v>Voka petangihall</v>
      </c>
      <c r="G11" s="806" t="s">
        <v>39</v>
      </c>
      <c r="H11" s="807">
        <v>2</v>
      </c>
      <c r="I11" s="808">
        <f>V!AA52</f>
        <v>21</v>
      </c>
      <c r="J11" s="11"/>
    </row>
    <row r="12" spans="1:10" x14ac:dyDescent="0.2">
      <c r="A12" s="869" t="s">
        <v>385</v>
      </c>
      <c r="B12" s="870" t="s">
        <v>40</v>
      </c>
      <c r="C12" s="871" t="s">
        <v>253</v>
      </c>
      <c r="D12" s="872" t="s">
        <v>38</v>
      </c>
      <c r="E12" s="351" t="str">
        <f>HYPERLINK("#'V-jh'!$A$5","V-jh")</f>
        <v>V-jh</v>
      </c>
      <c r="F12" s="809" t="str">
        <f>HYPERLINK("https://kaart.delfi.ee/?bookmark=236e0f8de3f3d8e7138807663f9b5d14","Voka petangihall")</f>
        <v>Voka petangihall</v>
      </c>
      <c r="G12" s="810" t="s">
        <v>39</v>
      </c>
      <c r="H12" s="811">
        <v>2</v>
      </c>
      <c r="I12" s="812"/>
      <c r="J12" s="11"/>
    </row>
    <row r="13" spans="1:10" x14ac:dyDescent="0.2">
      <c r="A13" s="873" t="s">
        <v>246</v>
      </c>
      <c r="B13" s="874"/>
      <c r="C13" s="813"/>
      <c r="D13" s="813"/>
      <c r="E13" s="24"/>
      <c r="F13" s="813"/>
      <c r="G13" s="814"/>
      <c r="H13" s="815"/>
      <c r="I13" s="816"/>
      <c r="J13" s="11"/>
    </row>
    <row r="14" spans="1:10" x14ac:dyDescent="0.2">
      <c r="A14" s="865" t="s">
        <v>254</v>
      </c>
      <c r="B14" s="866" t="s">
        <v>40</v>
      </c>
      <c r="C14" s="867" t="s">
        <v>255</v>
      </c>
      <c r="D14" s="868" t="s">
        <v>38</v>
      </c>
      <c r="E14" s="350" t="str">
        <f>HYPERLINK("#V3!$A$5","V3")</f>
        <v>V3</v>
      </c>
      <c r="F14" s="805" t="str">
        <f>HYPERLINK("https://kaart.delfi.ee/?bookmark=236e0f8de3f3d8e7138807663f9b5d14","Voka petangihall")</f>
        <v>Voka petangihall</v>
      </c>
      <c r="G14" s="806" t="s">
        <v>39</v>
      </c>
      <c r="H14" s="807">
        <v>2</v>
      </c>
      <c r="I14" s="808">
        <f>V!AB52</f>
        <v>24</v>
      </c>
      <c r="J14" s="11"/>
    </row>
    <row r="15" spans="1:10" x14ac:dyDescent="0.2">
      <c r="A15" s="875" t="s">
        <v>256</v>
      </c>
      <c r="B15" s="876" t="s">
        <v>40</v>
      </c>
      <c r="C15" s="877" t="s">
        <v>43</v>
      </c>
      <c r="D15" s="878" t="s">
        <v>38</v>
      </c>
      <c r="E15" s="897" t="str">
        <f>HYPERLINK("#'iv-d'!$A$5","iv-d")</f>
        <v>iv-d</v>
      </c>
      <c r="F15" s="817" t="str">
        <f t="shared" ref="F15" si="0">HYPERLINK("https://kaart.delfi.ee/?bookmark=236e0f8de3f3d8e7138807663f9b5d14","Voka petangihall")</f>
        <v>Voka petangihall</v>
      </c>
      <c r="G15" s="818" t="s">
        <v>39</v>
      </c>
      <c r="H15" s="819">
        <v>2</v>
      </c>
      <c r="I15" s="820">
        <v>26</v>
      </c>
      <c r="J15" s="11"/>
    </row>
    <row r="16" spans="1:10" x14ac:dyDescent="0.2">
      <c r="A16" s="879" t="s">
        <v>257</v>
      </c>
      <c r="B16" s="880" t="s">
        <v>40</v>
      </c>
      <c r="C16" s="881" t="s">
        <v>258</v>
      </c>
      <c r="D16" s="882" t="s">
        <v>42</v>
      </c>
      <c r="E16" s="721" t="str">
        <f>HYPERLINK("#V4!$A$5","V4")</f>
        <v>V4</v>
      </c>
      <c r="F16" s="821" t="str">
        <f>HYPERLINK("https://kaart.delfi.ee/?bookmark=236e0f8de3f3d8e7138807663f9b5d14","Voka petangihall")</f>
        <v>Voka petangihall</v>
      </c>
      <c r="G16" s="822" t="s">
        <v>39</v>
      </c>
      <c r="H16" s="823">
        <v>2</v>
      </c>
      <c r="I16" s="824">
        <f>V!AC52</f>
        <v>21</v>
      </c>
      <c r="J16" s="11"/>
    </row>
    <row r="17" spans="1:10" x14ac:dyDescent="0.2">
      <c r="A17" s="883" t="s">
        <v>247</v>
      </c>
      <c r="B17" s="884"/>
      <c r="C17" s="825"/>
      <c r="D17" s="825"/>
      <c r="E17" s="722"/>
      <c r="F17" s="825"/>
      <c r="G17" s="826"/>
      <c r="H17" s="827"/>
      <c r="I17" s="828"/>
      <c r="J17" s="11"/>
    </row>
    <row r="18" spans="1:10" x14ac:dyDescent="0.2">
      <c r="A18" s="885" t="s">
        <v>305</v>
      </c>
      <c r="B18" s="886" t="s">
        <v>40</v>
      </c>
      <c r="C18" s="887" t="s">
        <v>297</v>
      </c>
      <c r="D18" s="888" t="s">
        <v>42</v>
      </c>
      <c r="E18" s="896" t="str">
        <f>HYPERLINK("#V5!$A$5","V5")</f>
        <v>V5</v>
      </c>
      <c r="F18" s="829" t="str">
        <f>HYPERLINK("https://kaart.delfi.ee/?bookmark=236e0f8de3f3d8e7138807663f9b5d14","Voka petangihall")</f>
        <v>Voka petangihall</v>
      </c>
      <c r="G18" s="830" t="s">
        <v>39</v>
      </c>
      <c r="H18" s="831">
        <v>2</v>
      </c>
      <c r="I18" s="832">
        <f>V!AD52</f>
        <v>21</v>
      </c>
      <c r="J18" s="23"/>
    </row>
    <row r="19" spans="1:10" x14ac:dyDescent="0.2">
      <c r="A19" s="889" t="s">
        <v>317</v>
      </c>
      <c r="B19" s="890" t="s">
        <v>318</v>
      </c>
      <c r="C19" s="891" t="s">
        <v>319</v>
      </c>
      <c r="D19" s="892"/>
      <c r="E19" s="733"/>
      <c r="F19" s="833" t="str">
        <f>HYPERLINK("https://kaart.delfi.ee/?bookmark=236e0f8de3f3d8e7138807663f9b5d14","Voka petangihall")</f>
        <v>Voka petangihall</v>
      </c>
      <c r="G19" s="834" t="s">
        <v>39</v>
      </c>
      <c r="H19" s="835">
        <v>0.05</v>
      </c>
      <c r="I19" s="836"/>
      <c r="J19" s="23"/>
    </row>
    <row r="20" spans="1:10" x14ac:dyDescent="0.2">
      <c r="A20" s="893" t="s">
        <v>316</v>
      </c>
      <c r="B20" s="894" t="s">
        <v>40</v>
      </c>
      <c r="C20" s="728" t="s">
        <v>315</v>
      </c>
      <c r="D20" s="895" t="s">
        <v>42</v>
      </c>
      <c r="E20" s="729" t="str">
        <f>HYPERLINK("#EW102!$A$5","EW104")</f>
        <v>EW104</v>
      </c>
      <c r="F20" s="837" t="str">
        <f>HYPERLINK("https://kaart.delfi.ee/?bookmark=236e0f8de3f3d8e7138807663f9b5d14","Voka petangihall")</f>
        <v>Voka petangihall</v>
      </c>
      <c r="G20" s="838" t="s">
        <v>39</v>
      </c>
      <c r="H20" s="839">
        <v>10</v>
      </c>
      <c r="I20" s="840">
        <v>18</v>
      </c>
      <c r="J20" s="23"/>
    </row>
    <row r="21" spans="1:10" x14ac:dyDescent="0.2">
      <c r="A21" s="858" t="s">
        <v>327</v>
      </c>
      <c r="B21" s="854" t="s">
        <v>318</v>
      </c>
      <c r="C21" s="709" t="s">
        <v>328</v>
      </c>
      <c r="D21" s="708"/>
      <c r="E21" s="734"/>
      <c r="F21" s="793"/>
      <c r="G21" s="794"/>
      <c r="H21" s="795"/>
      <c r="I21" s="796"/>
      <c r="J21" s="23"/>
    </row>
    <row r="22" spans="1:10" x14ac:dyDescent="0.2">
      <c r="A22" s="355" t="s">
        <v>299</v>
      </c>
      <c r="B22" s="736"/>
      <c r="C22" s="25"/>
      <c r="D22" s="25"/>
      <c r="E22" s="737"/>
      <c r="F22" s="841"/>
      <c r="G22" s="842"/>
      <c r="H22" s="843"/>
      <c r="I22" s="844"/>
      <c r="J22" s="11"/>
    </row>
    <row r="23" spans="1:10" x14ac:dyDescent="0.2">
      <c r="A23" s="875" t="s">
        <v>325</v>
      </c>
      <c r="B23" s="898" t="s">
        <v>40</v>
      </c>
      <c r="C23" s="899" t="s">
        <v>324</v>
      </c>
      <c r="D23" s="900" t="s">
        <v>326</v>
      </c>
      <c r="E23" s="897" t="str">
        <f>HYPERLINK("#'iv-st'!$A$5","iv-st")</f>
        <v>iv-st</v>
      </c>
      <c r="F23" s="817" t="str">
        <f t="shared" ref="F23" si="1">HYPERLINK("https://kaart.delfi.ee/?bookmark=236e0f8de3f3d8e7138807663f9b5d14","Voka petangihall")</f>
        <v>Voka petangihall</v>
      </c>
      <c r="G23" s="818" t="s">
        <v>39</v>
      </c>
      <c r="H23" s="819">
        <v>2</v>
      </c>
      <c r="I23" s="820">
        <v>24</v>
      </c>
      <c r="J23" s="23"/>
    </row>
    <row r="24" spans="1:10" x14ac:dyDescent="0.2">
      <c r="A24" s="901" t="s">
        <v>329</v>
      </c>
      <c r="B24" s="902" t="s">
        <v>40</v>
      </c>
      <c r="C24" s="903" t="s">
        <v>298</v>
      </c>
      <c r="D24" s="904" t="s">
        <v>38</v>
      </c>
      <c r="E24" s="745" t="str">
        <f>HYPERLINK("#V6!$A$5","V6")</f>
        <v>V6</v>
      </c>
      <c r="F24" s="845" t="str">
        <f>HYPERLINK("https://kaart.delfi.ee/?bookmark=236e0f8de3f3d8e7138807663f9b5d14","Voka petangihall")</f>
        <v>Voka petangihall</v>
      </c>
      <c r="G24" s="846" t="s">
        <v>39</v>
      </c>
      <c r="H24" s="847">
        <v>3</v>
      </c>
      <c r="I24" s="848">
        <f>V!AE52</f>
        <v>26</v>
      </c>
      <c r="J24" s="23"/>
    </row>
    <row r="25" spans="1:10" x14ac:dyDescent="0.2">
      <c r="A25" s="905" t="s">
        <v>337</v>
      </c>
      <c r="B25" s="906" t="s">
        <v>40</v>
      </c>
      <c r="C25" s="907" t="s">
        <v>300</v>
      </c>
      <c r="D25" s="908" t="s">
        <v>42</v>
      </c>
      <c r="E25" s="746" t="str">
        <f>HYPERLINK("#V7!$A$5","V7")</f>
        <v>V7</v>
      </c>
      <c r="F25" s="849" t="str">
        <f>HYPERLINK("https://kaart.delfi.ee/?bookmark=236e0f8de3f3d8e7138807663f9b5d14","Voka petangihall")</f>
        <v>Voka petangihall</v>
      </c>
      <c r="G25" s="850" t="s">
        <v>39</v>
      </c>
      <c r="H25" s="851">
        <v>3</v>
      </c>
      <c r="I25" s="852">
        <f>V!AF52</f>
        <v>18</v>
      </c>
      <c r="J25" s="23"/>
    </row>
    <row r="26" spans="1:10" x14ac:dyDescent="0.2">
      <c r="A26" s="909" t="s">
        <v>301</v>
      </c>
      <c r="B26" s="910"/>
      <c r="C26" s="841"/>
      <c r="D26" s="841"/>
      <c r="E26" s="737"/>
      <c r="F26" s="841"/>
      <c r="G26" s="842"/>
      <c r="H26" s="843"/>
      <c r="I26" s="844"/>
      <c r="J26" s="11"/>
    </row>
    <row r="27" spans="1:10" ht="25.5" x14ac:dyDescent="0.2">
      <c r="A27" s="916" t="s">
        <v>345</v>
      </c>
      <c r="B27" s="917" t="s">
        <v>40</v>
      </c>
      <c r="C27" s="918" t="s">
        <v>338</v>
      </c>
      <c r="D27" s="919" t="s">
        <v>42</v>
      </c>
      <c r="E27" s="920" t="str">
        <f>HYPERLINK("#V8!$A$5","V8")</f>
        <v>V8</v>
      </c>
      <c r="F27" s="921" t="str">
        <f>HYPERLINK("https://kaart.delfi.ee/?bookmark=236e0f8de3f3d8e7138807663f9b5d14","Voka petangihall")</f>
        <v>Voka petangihall</v>
      </c>
      <c r="G27" s="922" t="s">
        <v>39</v>
      </c>
      <c r="H27" s="923">
        <v>3</v>
      </c>
      <c r="I27" s="924">
        <f>V!AG52</f>
        <v>27</v>
      </c>
      <c r="J27" s="23"/>
    </row>
    <row r="28" spans="1:10" ht="25.5" x14ac:dyDescent="0.2">
      <c r="A28" s="931" t="s">
        <v>346</v>
      </c>
      <c r="B28" s="932" t="s">
        <v>40</v>
      </c>
      <c r="C28" s="933" t="s">
        <v>347</v>
      </c>
      <c r="D28" s="934" t="s">
        <v>38</v>
      </c>
      <c r="E28" s="935" t="str">
        <f>HYPERLINK("#V9!$A$5","V9")</f>
        <v>V9</v>
      </c>
      <c r="F28" s="936" t="str">
        <f>HYPERLINK("https://kaart.delfi.ee/?bookmark=236e0f8de3f3d8e7138807663f9b5d14","Voka petangihall")</f>
        <v>Voka petangihall</v>
      </c>
      <c r="G28" s="937" t="s">
        <v>39</v>
      </c>
      <c r="H28" s="938">
        <v>3</v>
      </c>
      <c r="I28" s="939">
        <f>V!AH52</f>
        <v>26</v>
      </c>
      <c r="J28" s="23"/>
    </row>
    <row r="29" spans="1:10" x14ac:dyDescent="0.2">
      <c r="A29" s="949" t="s">
        <v>368</v>
      </c>
      <c r="B29" s="950" t="s">
        <v>40</v>
      </c>
      <c r="C29" s="951" t="s">
        <v>369</v>
      </c>
      <c r="D29" s="952" t="s">
        <v>42</v>
      </c>
      <c r="E29" s="953" t="str">
        <f>HYPERLINK("#V10!$A$5","V10")</f>
        <v>V10</v>
      </c>
      <c r="F29" s="954" t="str">
        <f>HYPERLINK("https://kaart.delfi.ee/?bookmark=236e0f8de3f3d8e7138807663f9b5d14","Voka petangihall")</f>
        <v>Voka petangihall</v>
      </c>
      <c r="G29" s="955" t="s">
        <v>39</v>
      </c>
      <c r="H29" s="956">
        <v>3</v>
      </c>
      <c r="I29" s="957">
        <f>V!AI52</f>
        <v>21</v>
      </c>
      <c r="J29" s="23"/>
    </row>
    <row r="30" spans="1:10" ht="13.5" thickBot="1" x14ac:dyDescent="0.25">
      <c r="A30" s="958" t="s">
        <v>367</v>
      </c>
      <c r="B30" s="959"/>
      <c r="C30" s="960"/>
      <c r="D30" s="960"/>
      <c r="E30" s="961"/>
      <c r="F30" s="960"/>
      <c r="G30" s="962"/>
      <c r="H30" s="963"/>
      <c r="I30" s="964"/>
      <c r="J30" s="11"/>
    </row>
    <row r="31" spans="1:10" ht="26.25" thickTop="1" x14ac:dyDescent="0.2">
      <c r="A31" s="940" t="s">
        <v>370</v>
      </c>
      <c r="B31" s="941" t="s">
        <v>40</v>
      </c>
      <c r="C31" s="942" t="s">
        <v>371</v>
      </c>
      <c r="D31" s="943" t="s">
        <v>240</v>
      </c>
      <c r="E31" s="944" t="str">
        <f>HYPERLINK("#LD!$A$5","LD")</f>
        <v>LD</v>
      </c>
      <c r="F31" s="945" t="str">
        <f>HYPERLINK("https://kaart.delfi.ee/?bookmark=236e0f8de3f3d8e7138807663f9b5d14","Voka petangihall")</f>
        <v>Voka petangihall</v>
      </c>
      <c r="G31" s="946" t="s">
        <v>39</v>
      </c>
      <c r="H31" s="947" t="s">
        <v>29</v>
      </c>
      <c r="I31" s="948">
        <f>V!AG56</f>
        <v>0</v>
      </c>
      <c r="J31" s="23"/>
    </row>
    <row r="32" spans="1:10" x14ac:dyDescent="0.2">
      <c r="A32" s="408"/>
      <c r="B32" s="409"/>
      <c r="C32" s="356"/>
      <c r="D32" s="26"/>
      <c r="E32" s="410"/>
      <c r="F32" s="411"/>
      <c r="G32" s="412"/>
      <c r="H32" s="413"/>
      <c r="I32" s="414"/>
      <c r="J32" s="23"/>
    </row>
    <row r="33" spans="1:10" hidden="1" x14ac:dyDescent="0.2">
      <c r="A33" s="30" t="s">
        <v>44</v>
      </c>
      <c r="B33" s="30"/>
      <c r="C33" s="30"/>
      <c r="D33" s="28"/>
      <c r="E33" s="31"/>
      <c r="F33" s="29"/>
      <c r="G33" s="28"/>
      <c r="H33" s="28"/>
      <c r="I33" s="28"/>
      <c r="J33" s="28"/>
    </row>
    <row r="34" spans="1:10" hidden="1" x14ac:dyDescent="0.2">
      <c r="A34" s="3" t="s">
        <v>45</v>
      </c>
      <c r="B34" s="3"/>
      <c r="C34" s="3"/>
      <c r="D34" s="3"/>
      <c r="E34" s="3"/>
      <c r="F34" s="32"/>
      <c r="J34" s="28"/>
    </row>
    <row r="35" spans="1:10" x14ac:dyDescent="0.2">
      <c r="A35" s="33" t="s">
        <v>46</v>
      </c>
      <c r="B35" s="33"/>
      <c r="C35" s="33"/>
      <c r="D35" s="28"/>
      <c r="E35" s="31"/>
      <c r="F35" s="29"/>
      <c r="G35" s="28"/>
      <c r="H35" s="28"/>
      <c r="I35" s="34"/>
    </row>
    <row r="36" spans="1:10" x14ac:dyDescent="0.2">
      <c r="A36" s="33" t="s">
        <v>302</v>
      </c>
      <c r="B36" s="33"/>
      <c r="C36" s="33"/>
      <c r="D36" s="28"/>
      <c r="E36" s="31"/>
      <c r="F36" s="29"/>
      <c r="G36" s="28"/>
      <c r="H36" s="28"/>
      <c r="I36" s="34"/>
    </row>
    <row r="37" spans="1:10" x14ac:dyDescent="0.2">
      <c r="A37" s="35" t="s">
        <v>47</v>
      </c>
      <c r="F37" s="36"/>
      <c r="J37" s="11"/>
    </row>
    <row r="38" spans="1:10" x14ac:dyDescent="0.2">
      <c r="A38" s="37"/>
      <c r="B38" s="38"/>
      <c r="C38" s="11"/>
      <c r="D38" s="39"/>
      <c r="E38" s="8"/>
      <c r="F38" s="8"/>
      <c r="G38" s="11"/>
      <c r="H38" s="10"/>
      <c r="I38" s="11"/>
      <c r="J38" s="11"/>
    </row>
    <row r="39" spans="1:10" x14ac:dyDescent="0.2">
      <c r="A39" s="37"/>
      <c r="B39" s="38"/>
      <c r="C39" s="11"/>
      <c r="D39" s="39"/>
      <c r="E39" s="8"/>
      <c r="F39" s="8"/>
      <c r="G39" s="11"/>
      <c r="H39" s="10"/>
      <c r="I39" s="11"/>
      <c r="J39" s="11"/>
    </row>
  </sheetData>
  <conditionalFormatting sqref="I5:I26 I29">
    <cfRule type="top10" dxfId="1218" priority="1176" rank="1"/>
  </conditionalFormatting>
  <conditionalFormatting sqref="I27">
    <cfRule type="top10" dxfId="1217" priority="4" rank="1"/>
  </conditionalFormatting>
  <conditionalFormatting sqref="I28">
    <cfRule type="top10" dxfId="1216" priority="3" rank="1"/>
  </conditionalFormatting>
  <conditionalFormatting sqref="I30">
    <cfRule type="top10" dxfId="1215" priority="2" rank="1"/>
  </conditionalFormatting>
  <conditionalFormatting sqref="I31">
    <cfRule type="top10" dxfId="1214" priority="1" rank="1"/>
  </conditionalFormatting>
  <pageMargins left="0.59055118110236227" right="0.27559055118110237" top="0.78740157480314965" bottom="0.39370078740157483" header="0.59055118110236227" footer="0"/>
  <pageSetup paperSize="9" fitToHeight="0" orientation="portrait" verticalDpi="1200" r:id="rId1"/>
  <headerFooter>
    <oddHeader>&amp;R&amp;9&amp;P. leht &amp;N&amp; -st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12"/>
  <sheetViews>
    <sheetView showGridLines="0" showRowColHeaders="0" workbookViewId="0">
      <pane ySplit="1" topLeftCell="A2" activePane="bottomLeft" state="frozen"/>
      <selection pane="bottomLeft" activeCell="A5" sqref="A5"/>
    </sheetView>
  </sheetViews>
  <sheetFormatPr defaultRowHeight="12.75" x14ac:dyDescent="0.2"/>
  <cols>
    <col min="1" max="1" width="3.28515625" style="1" customWidth="1"/>
    <col min="2" max="2" width="32.140625" style="1" bestFit="1" customWidth="1"/>
    <col min="3" max="3" width="4.7109375" style="1" customWidth="1"/>
    <col min="4" max="4" width="1.140625" style="1" customWidth="1"/>
    <col min="5" max="5" width="2.7109375" style="1" customWidth="1"/>
    <col min="6" max="6" width="9.140625" style="1"/>
    <col min="7" max="7" width="2.7109375" style="1" customWidth="1"/>
    <col min="8" max="8" width="1.140625" style="1" customWidth="1"/>
    <col min="9" max="9" width="2.7109375" style="1" customWidth="1"/>
    <col min="10" max="10" width="9.140625" style="1"/>
    <col min="11" max="11" width="2.7109375" style="1" customWidth="1"/>
    <col min="12" max="12" width="1.140625" style="1" customWidth="1"/>
    <col min="13" max="13" width="2.7109375" style="1" customWidth="1"/>
    <col min="14" max="14" width="9.140625" style="1"/>
    <col min="15" max="15" width="2.7109375" style="1" customWidth="1"/>
    <col min="16" max="16" width="1.140625" style="1" customWidth="1"/>
    <col min="17" max="17" width="2.7109375" style="1" customWidth="1"/>
    <col min="18" max="18" width="9.140625" style="1"/>
    <col min="19" max="19" width="2.7109375" style="1" customWidth="1"/>
    <col min="20" max="20" width="1.140625" style="1" customWidth="1"/>
    <col min="21" max="21" width="2.7109375" style="1" customWidth="1"/>
    <col min="22" max="22" width="9.140625" style="1"/>
    <col min="23" max="23" width="5.7109375" style="1" bestFit="1" customWidth="1"/>
    <col min="24" max="24" width="5.5703125" style="1" hidden="1" customWidth="1"/>
    <col min="25" max="25" width="2.7109375" style="1" customWidth="1"/>
    <col min="26" max="26" width="1.140625" style="1" customWidth="1"/>
    <col min="27" max="27" width="2.7109375" style="1" customWidth="1"/>
    <col min="28" max="28" width="4.7109375" style="1" customWidth="1"/>
    <col min="29" max="29" width="9.140625" style="1"/>
    <col min="30" max="31" width="9.140625" style="1" hidden="1" customWidth="1"/>
    <col min="32" max="32" width="18.28515625" style="1" hidden="1" customWidth="1"/>
    <col min="33" max="33" width="9.140625" style="1" hidden="1" customWidth="1"/>
    <col min="34" max="34" width="16.5703125" style="1" hidden="1" customWidth="1"/>
    <col min="35" max="35" width="9.140625" style="1" hidden="1" customWidth="1"/>
    <col min="36" max="36" width="18.28515625" style="1" hidden="1" customWidth="1"/>
    <col min="37" max="37" width="9.140625" style="1" hidden="1" customWidth="1"/>
    <col min="38" max="38" width="15.28515625" style="1" hidden="1" customWidth="1"/>
    <col min="39" max="39" width="9.140625" style="1" hidden="1" customWidth="1"/>
    <col min="40" max="40" width="17.28515625" style="1" hidden="1" customWidth="1"/>
    <col min="41" max="41" width="9.140625" style="1" hidden="1" customWidth="1"/>
    <col min="42" max="42" width="13.85546875" style="1" hidden="1" customWidth="1"/>
    <col min="43" max="16384" width="9.140625" style="1"/>
  </cols>
  <sheetData>
    <row r="1" spans="1:42" x14ac:dyDescent="0.2">
      <c r="A1" s="206" t="str">
        <f>UPPER((Kalend!E24)&amp;" - "&amp;(Kalend!C24))&amp;" - "&amp;LOWER(Kalend!D24)&amp;" - "&amp;(Kalend!A24)&amp;" kell "&amp;(Kalend!B24)&amp;" - "&amp;(Kalend!F24)</f>
        <v>V6 - VOKA IV SISE-KV 6. ETAPP - duo - P, 13.03.2022 kell 11:00 - Voka petangihall</v>
      </c>
      <c r="O1" s="157"/>
      <c r="P1" s="157"/>
      <c r="Q1" s="187"/>
      <c r="R1" s="187"/>
      <c r="S1" s="187"/>
      <c r="T1" s="40"/>
      <c r="U1" s="40"/>
      <c r="V1" s="40"/>
      <c r="W1" s="157"/>
      <c r="X1" s="303"/>
      <c r="Y1" s="157"/>
      <c r="Z1" s="157"/>
      <c r="AD1" s="44" t="s">
        <v>71</v>
      </c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303"/>
      <c r="AP1" s="303"/>
    </row>
    <row r="2" spans="1:42" x14ac:dyDescent="0.2">
      <c r="F2" s="157"/>
      <c r="L2" s="214"/>
      <c r="M2" s="214"/>
      <c r="N2" s="214"/>
      <c r="O2" s="157"/>
      <c r="P2" s="157"/>
      <c r="Q2" s="157"/>
      <c r="R2" s="157"/>
      <c r="S2" s="157"/>
      <c r="T2" s="214"/>
      <c r="U2" s="214"/>
      <c r="V2" s="215" t="s">
        <v>195</v>
      </c>
      <c r="W2" s="216">
        <v>1</v>
      </c>
      <c r="Y2" s="217" t="s">
        <v>196</v>
      </c>
      <c r="Z2" s="157"/>
      <c r="AD2" s="157"/>
      <c r="AE2" s="157"/>
      <c r="AF2" s="157"/>
      <c r="AG2" s="157"/>
      <c r="AH2" s="157"/>
      <c r="AI2" s="157"/>
      <c r="AJ2" s="217"/>
      <c r="AK2" s="157"/>
      <c r="AL2" s="157"/>
      <c r="AM2" s="157"/>
      <c r="AN2" s="157"/>
    </row>
    <row r="3" spans="1:42" x14ac:dyDescent="0.2">
      <c r="F3" s="157"/>
      <c r="L3" s="214"/>
      <c r="M3" s="214"/>
      <c r="N3" s="214"/>
      <c r="O3" s="157"/>
      <c r="P3" s="157"/>
      <c r="Q3" s="157"/>
      <c r="R3" s="157"/>
      <c r="S3" s="157"/>
      <c r="T3" s="214"/>
      <c r="U3" s="214"/>
      <c r="V3" s="218" t="s">
        <v>197</v>
      </c>
      <c r="W3" s="216">
        <v>0.5</v>
      </c>
      <c r="Y3" s="217" t="s">
        <v>196</v>
      </c>
      <c r="Z3" s="157"/>
      <c r="AE3" s="157"/>
      <c r="AG3" s="157"/>
      <c r="AH3" s="157"/>
      <c r="AI3" s="157"/>
      <c r="AJ3" s="157"/>
      <c r="AK3" s="157"/>
      <c r="AL3" s="157"/>
      <c r="AM3" s="157"/>
      <c r="AN3" s="157"/>
    </row>
    <row r="4" spans="1:42" x14ac:dyDescent="0.2">
      <c r="F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219" t="s">
        <v>198</v>
      </c>
      <c r="W4" s="216">
        <v>0</v>
      </c>
      <c r="Y4" s="217" t="s">
        <v>196</v>
      </c>
      <c r="Z4" s="157"/>
      <c r="AA4" s="157"/>
      <c r="AE4" s="214"/>
      <c r="AF4" s="214"/>
      <c r="AG4" s="214"/>
      <c r="AH4" s="205"/>
      <c r="AI4" s="214"/>
      <c r="AJ4" s="214"/>
      <c r="AK4" s="214"/>
      <c r="AL4" s="214"/>
      <c r="AM4" s="214"/>
      <c r="AN4" s="214"/>
      <c r="AO4" s="214"/>
      <c r="AP4" s="214"/>
    </row>
    <row r="5" spans="1:42" x14ac:dyDescent="0.2">
      <c r="F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363" t="s">
        <v>231</v>
      </c>
      <c r="AC5" s="157"/>
      <c r="AD5" s="360" t="s">
        <v>176</v>
      </c>
    </row>
    <row r="6" spans="1:42" x14ac:dyDescent="0.2">
      <c r="A6" s="326" t="s">
        <v>10</v>
      </c>
      <c r="B6" s="326" t="s">
        <v>58</v>
      </c>
      <c r="C6" s="327" t="s">
        <v>133</v>
      </c>
      <c r="D6" s="328"/>
      <c r="E6" s="328"/>
      <c r="F6" s="329"/>
      <c r="G6" s="327" t="s">
        <v>136</v>
      </c>
      <c r="H6" s="328"/>
      <c r="I6" s="328"/>
      <c r="J6" s="329"/>
      <c r="K6" s="327" t="s">
        <v>139</v>
      </c>
      <c r="L6" s="328"/>
      <c r="M6" s="328"/>
      <c r="N6" s="329"/>
      <c r="O6" s="327" t="s">
        <v>142</v>
      </c>
      <c r="P6" s="328"/>
      <c r="Q6" s="328"/>
      <c r="R6" s="329"/>
      <c r="S6" s="327" t="s">
        <v>144</v>
      </c>
      <c r="T6" s="328"/>
      <c r="U6" s="328"/>
      <c r="V6" s="329"/>
      <c r="W6" s="326" t="s">
        <v>79</v>
      </c>
      <c r="X6" s="330" t="s">
        <v>220</v>
      </c>
      <c r="Y6" s="330"/>
      <c r="Z6" s="331" t="s">
        <v>221</v>
      </c>
      <c r="AA6" s="332"/>
      <c r="AB6" s="157"/>
      <c r="AC6" s="157"/>
      <c r="AD6" s="158" t="s">
        <v>224</v>
      </c>
      <c r="AE6" s="159"/>
      <c r="AF6" s="159" t="s">
        <v>191</v>
      </c>
      <c r="AG6" s="159"/>
      <c r="AH6" s="209" t="s">
        <v>192</v>
      </c>
      <c r="AI6" s="159"/>
      <c r="AJ6" s="159" t="s">
        <v>193</v>
      </c>
      <c r="AK6" s="160"/>
      <c r="AL6" s="159" t="s">
        <v>194</v>
      </c>
      <c r="AM6" s="160"/>
      <c r="AN6" s="160" t="s">
        <v>229</v>
      </c>
      <c r="AO6" s="359"/>
      <c r="AP6" s="160" t="s">
        <v>230</v>
      </c>
    </row>
    <row r="7" spans="1:42" x14ac:dyDescent="0.2">
      <c r="A7" s="333">
        <v>1</v>
      </c>
      <c r="B7" s="395" t="s">
        <v>330</v>
      </c>
      <c r="C7" s="334"/>
      <c r="D7" s="335" t="s">
        <v>222</v>
      </c>
      <c r="E7" s="336"/>
      <c r="F7" s="337"/>
      <c r="G7" s="334"/>
      <c r="H7" s="335" t="s">
        <v>222</v>
      </c>
      <c r="I7" s="336"/>
      <c r="J7" s="337"/>
      <c r="K7" s="334"/>
      <c r="L7" s="335" t="s">
        <v>222</v>
      </c>
      <c r="M7" s="336"/>
      <c r="N7" s="337"/>
      <c r="O7" s="334"/>
      <c r="P7" s="335" t="s">
        <v>222</v>
      </c>
      <c r="Q7" s="336"/>
      <c r="R7" s="337"/>
      <c r="S7" s="334"/>
      <c r="T7" s="335" t="s">
        <v>222</v>
      </c>
      <c r="U7" s="336"/>
      <c r="V7" s="337"/>
      <c r="W7" s="338">
        <f t="shared" ref="W7:W16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0</v>
      </c>
      <c r="X7" s="339"/>
      <c r="Y7" s="334">
        <f>C7+G7+K7+O7+S7</f>
        <v>0</v>
      </c>
      <c r="Z7" s="335" t="s">
        <v>222</v>
      </c>
      <c r="AA7" s="340">
        <f>E7+I7+M7+Q7+U7</f>
        <v>0</v>
      </c>
      <c r="AB7" s="341">
        <f>Y7-AA7</f>
        <v>0</v>
      </c>
      <c r="AD7" s="211">
        <f>SUM(AE7:AP7)</f>
        <v>224</v>
      </c>
      <c r="AE7" s="212">
        <f>IFERROR(INDEX(V!$R:$R,MATCH(AF7,V!$L:$L,0)),"")</f>
        <v>159</v>
      </c>
      <c r="AF7" s="213" t="str">
        <f>IFERROR(LEFT($B7,(FIND(",",$B7,1)-1)),"")</f>
        <v>Henri Mitt</v>
      </c>
      <c r="AG7" s="212">
        <f>IFERROR(INDEX(V!$R:$R,MATCH(AH7,V!$L:$L,0)),"")</f>
        <v>65</v>
      </c>
      <c r="AH7" s="213" t="str">
        <f>IFERROR(MID($B7,FIND(", ",$B7)+2,256),"")</f>
        <v>Tõnis Neiland</v>
      </c>
      <c r="AI7" s="212" t="str">
        <f>IFERROR(INDEX(V!$R:$R,MATCH(AJ7,V!$L:$L,0)),"")</f>
        <v/>
      </c>
      <c r="AJ7" s="213" t="str">
        <f>IFERROR(MID($B7,FIND("^",SUBSTITUTE($B7,", ","^",1))+2,FIND("^",SUBSTITUTE($B7,", ","^",2))-FIND("^",SUBSTITUTE($B7,", ","^",1))-2),"")</f>
        <v/>
      </c>
      <c r="AK7" s="212" t="str">
        <f>IFERROR(INDEX(V!$R:$R,MATCH(AL7,V!$L:$L,0)),"")</f>
        <v/>
      </c>
      <c r="AL7" s="213" t="str">
        <f>IFERROR(MID($B7,FIND(", ",$B7,FIND(", ",$B7,FIND(", ",$B7))+1)+2,30000),"")</f>
        <v/>
      </c>
      <c r="AM7" s="212" t="str">
        <f>IFERROR(INDEX(V!$R:$R,MATCH(AN7,V!$L:$L,0)),"")</f>
        <v/>
      </c>
      <c r="AN7" s="213" t="str">
        <f>IFERROR(MID($B7,FIND(", ",$B7,FIND(", ",$B7)+1)+2,FIND(", ",$B7,FIND(", ",$B7,FIND(", ",$B7)+1)+1)-FIND(", ",$B7,FIND(", ",$B7)+1)-2),"")</f>
        <v/>
      </c>
      <c r="AO7" s="212" t="str">
        <f>IFERROR(INDEX(V!$R:$R,MATCH(AP7,V!$L:$L,0)),"")</f>
        <v/>
      </c>
      <c r="AP7" s="213" t="str">
        <f>IFERROR(MID($B7,FIND(", ",$B7,FIND(", ",$B7,FIND(", ",$B7)+1)+1)+2,30000),"")</f>
        <v/>
      </c>
    </row>
    <row r="8" spans="1:42" x14ac:dyDescent="0.2">
      <c r="A8" s="333">
        <v>2</v>
      </c>
      <c r="B8" s="241" t="s">
        <v>331</v>
      </c>
      <c r="C8" s="334"/>
      <c r="D8" s="335" t="s">
        <v>222</v>
      </c>
      <c r="E8" s="336"/>
      <c r="F8" s="337"/>
      <c r="G8" s="334"/>
      <c r="H8" s="335" t="s">
        <v>222</v>
      </c>
      <c r="I8" s="336"/>
      <c r="J8" s="337"/>
      <c r="K8" s="334"/>
      <c r="L8" s="335" t="s">
        <v>222</v>
      </c>
      <c r="M8" s="336"/>
      <c r="N8" s="337"/>
      <c r="O8" s="334"/>
      <c r="P8" s="335" t="s">
        <v>222</v>
      </c>
      <c r="Q8" s="336"/>
      <c r="R8" s="337"/>
      <c r="S8" s="334"/>
      <c r="T8" s="335" t="s">
        <v>222</v>
      </c>
      <c r="U8" s="336"/>
      <c r="V8" s="337"/>
      <c r="W8" s="338">
        <f t="shared" si="0"/>
        <v>0</v>
      </c>
      <c r="X8" s="339"/>
      <c r="Y8" s="334">
        <f t="shared" ref="Y8:Y16" si="1">C8+G8+K8+O8+S8</f>
        <v>0</v>
      </c>
      <c r="Z8" s="335" t="s">
        <v>222</v>
      </c>
      <c r="AA8" s="340">
        <f t="shared" ref="AA8:AA16" si="2">E8+I8+M8+Q8+U8</f>
        <v>0</v>
      </c>
      <c r="AB8" s="341">
        <f t="shared" ref="AB8:AB16" si="3">Y8-AA8</f>
        <v>0</v>
      </c>
      <c r="AC8" s="210"/>
      <c r="AD8" s="211">
        <f t="shared" ref="AD8:AD11" si="4">SUM(AE8:AL8)</f>
        <v>174</v>
      </c>
      <c r="AE8" s="212">
        <f>IFERROR(INDEX(V!$R:$R,MATCH(AF8,V!$L:$L,0)),"")</f>
        <v>132</v>
      </c>
      <c r="AF8" s="213" t="str">
        <f t="shared" ref="AF8:AF19" si="5">IFERROR(LEFT($B8,(FIND(",",$B8,1)-1)),"")</f>
        <v>Olav Türk</v>
      </c>
      <c r="AG8" s="212">
        <f>IFERROR(INDEX(V!$R:$R,MATCH(AH8,V!$L:$L,0)),"")</f>
        <v>42</v>
      </c>
      <c r="AH8" s="213" t="str">
        <f t="shared" ref="AH8:AH19" si="6">IFERROR(MID($B8,FIND(", ",$B8)+2,256),"")</f>
        <v>Urmas Jõeäär</v>
      </c>
      <c r="AI8" s="212" t="str">
        <f>IFERROR(INDEX(V!$R:$R,MATCH(AJ8,V!$L:$L,0)),"")</f>
        <v/>
      </c>
      <c r="AJ8" s="213" t="str">
        <f t="shared" ref="AJ8:AJ19" si="7">IFERROR(MID($B8,FIND("^",SUBSTITUTE($B8,", ","^",1))+2,FIND("^",SUBSTITUTE($B8,", ","^",2))-FIND("^",SUBSTITUTE($B8,", ","^",1))-2),"")</f>
        <v/>
      </c>
      <c r="AK8" s="212" t="str">
        <f>IFERROR(INDEX(V!$R:$R,MATCH(AL8,V!$L:$L,0)),"")</f>
        <v/>
      </c>
      <c r="AL8" s="213" t="str">
        <f t="shared" ref="AL8:AL19" si="8">IFERROR(MID($B8,FIND(", ",$B8,FIND(", ",$B8,FIND(", ",$B8))+1)+2,30000),"")</f>
        <v/>
      </c>
      <c r="AM8" s="212" t="str">
        <f>IFERROR(INDEX(V!$R:$R,MATCH(AN8,V!$L:$L,0)),"")</f>
        <v/>
      </c>
      <c r="AN8" s="213" t="str">
        <f t="shared" ref="AN8:AN19" si="9">IFERROR(MID($B8,FIND(", ",$B8,FIND(", ",$B8)+1)+2,FIND(", ",$B8,FIND(", ",$B8,FIND(", ",$B8)+1)+1)-FIND(", ",$B8,FIND(", ",$B8)+1)-2),"")</f>
        <v/>
      </c>
      <c r="AO8" s="212" t="str">
        <f>IFERROR(INDEX(V!$R:$R,MATCH(AP8,V!$L:$L,0)),"")</f>
        <v/>
      </c>
      <c r="AP8" s="213" t="str">
        <f t="shared" ref="AP8:AP19" si="10">IFERROR(MID($B8,FIND(", ",$B8,FIND(", ",$B8,FIND(", ",$B8)+1)+1)+2,30000),"")</f>
        <v/>
      </c>
    </row>
    <row r="9" spans="1:42" x14ac:dyDescent="0.2">
      <c r="A9" s="333">
        <v>3</v>
      </c>
      <c r="B9" s="255" t="s">
        <v>262</v>
      </c>
      <c r="C9" s="334"/>
      <c r="D9" s="335" t="s">
        <v>222</v>
      </c>
      <c r="E9" s="336"/>
      <c r="F9" s="337"/>
      <c r="G9" s="334"/>
      <c r="H9" s="335" t="s">
        <v>222</v>
      </c>
      <c r="I9" s="336"/>
      <c r="J9" s="337"/>
      <c r="K9" s="334"/>
      <c r="L9" s="335" t="s">
        <v>222</v>
      </c>
      <c r="M9" s="336"/>
      <c r="N9" s="337"/>
      <c r="O9" s="334"/>
      <c r="P9" s="335" t="s">
        <v>222</v>
      </c>
      <c r="Q9" s="336"/>
      <c r="R9" s="337"/>
      <c r="S9" s="334"/>
      <c r="T9" s="335" t="s">
        <v>222</v>
      </c>
      <c r="U9" s="336"/>
      <c r="V9" s="337"/>
      <c r="W9" s="338">
        <f t="shared" si="0"/>
        <v>0</v>
      </c>
      <c r="X9" s="339"/>
      <c r="Y9" s="334">
        <f t="shared" si="1"/>
        <v>0</v>
      </c>
      <c r="Z9" s="335" t="s">
        <v>222</v>
      </c>
      <c r="AA9" s="340">
        <f t="shared" si="2"/>
        <v>0</v>
      </c>
      <c r="AB9" s="341">
        <f t="shared" si="3"/>
        <v>0</v>
      </c>
      <c r="AC9" s="210"/>
      <c r="AD9" s="211">
        <f t="shared" si="4"/>
        <v>263</v>
      </c>
      <c r="AE9" s="212">
        <f>IFERROR(INDEX(V!$R:$R,MATCH(AF9,V!$L:$L,0)),"")</f>
        <v>153</v>
      </c>
      <c r="AF9" s="213" t="str">
        <f t="shared" si="5"/>
        <v>Kaspar Mänd</v>
      </c>
      <c r="AG9" s="212">
        <f>IFERROR(INDEX(V!$R:$R,MATCH(AH9,V!$L:$L,0)),"")</f>
        <v>110</v>
      </c>
      <c r="AH9" s="213" t="str">
        <f t="shared" si="6"/>
        <v>Sander Rose</v>
      </c>
      <c r="AI9" s="212" t="str">
        <f>IFERROR(INDEX(V!$R:$R,MATCH(AJ9,V!$L:$L,0)),"")</f>
        <v/>
      </c>
      <c r="AJ9" s="213" t="str">
        <f t="shared" si="7"/>
        <v/>
      </c>
      <c r="AK9" s="212" t="str">
        <f>IFERROR(INDEX(V!$R:$R,MATCH(AL9,V!$L:$L,0)),"")</f>
        <v/>
      </c>
      <c r="AL9" s="213" t="str">
        <f t="shared" si="8"/>
        <v/>
      </c>
      <c r="AM9" s="212" t="str">
        <f>IFERROR(INDEX(V!$R:$R,MATCH(AN9,V!$L:$L,0)),"")</f>
        <v/>
      </c>
      <c r="AN9" s="213" t="str">
        <f t="shared" si="9"/>
        <v/>
      </c>
      <c r="AO9" s="212" t="str">
        <f>IFERROR(INDEX(V!$R:$R,MATCH(AP9,V!$L:$L,0)),"")</f>
        <v/>
      </c>
      <c r="AP9" s="213" t="str">
        <f t="shared" si="10"/>
        <v/>
      </c>
    </row>
    <row r="10" spans="1:42" x14ac:dyDescent="0.2">
      <c r="A10" s="333">
        <v>4</v>
      </c>
      <c r="B10" s="255" t="s">
        <v>332</v>
      </c>
      <c r="C10" s="334"/>
      <c r="D10" s="335" t="s">
        <v>222</v>
      </c>
      <c r="E10" s="336"/>
      <c r="F10" s="337"/>
      <c r="G10" s="334"/>
      <c r="H10" s="335" t="s">
        <v>222</v>
      </c>
      <c r="I10" s="336"/>
      <c r="J10" s="337"/>
      <c r="K10" s="334"/>
      <c r="L10" s="335" t="s">
        <v>222</v>
      </c>
      <c r="M10" s="336"/>
      <c r="N10" s="337"/>
      <c r="O10" s="334"/>
      <c r="P10" s="335" t="s">
        <v>222</v>
      </c>
      <c r="Q10" s="336"/>
      <c r="R10" s="337"/>
      <c r="S10" s="334"/>
      <c r="T10" s="335" t="s">
        <v>222</v>
      </c>
      <c r="U10" s="336"/>
      <c r="V10" s="337"/>
      <c r="W10" s="338">
        <f t="shared" si="0"/>
        <v>0</v>
      </c>
      <c r="X10" s="339"/>
      <c r="Y10" s="334">
        <f t="shared" si="1"/>
        <v>0</v>
      </c>
      <c r="Z10" s="335" t="s">
        <v>222</v>
      </c>
      <c r="AA10" s="340">
        <f t="shared" si="2"/>
        <v>0</v>
      </c>
      <c r="AB10" s="341">
        <f t="shared" si="3"/>
        <v>0</v>
      </c>
      <c r="AC10" s="210"/>
      <c r="AD10" s="211">
        <f t="shared" si="4"/>
        <v>64</v>
      </c>
      <c r="AE10" s="212">
        <f>IFERROR(INDEX(V!$R:$R,MATCH(AF10,V!$L:$L,0)),"")</f>
        <v>29</v>
      </c>
      <c r="AF10" s="213" t="str">
        <f t="shared" si="5"/>
        <v>Marta Bernat</v>
      </c>
      <c r="AG10" s="212">
        <f>IFERROR(INDEX(V!$R:$R,MATCH(AH10,V!$L:$L,0)),"")</f>
        <v>35</v>
      </c>
      <c r="AH10" s="213" t="str">
        <f t="shared" si="6"/>
        <v>Peep Peenema</v>
      </c>
      <c r="AI10" s="212" t="str">
        <f>IFERROR(INDEX(V!$R:$R,MATCH(AJ10,V!$L:$L,0)),"")</f>
        <v/>
      </c>
      <c r="AJ10" s="213" t="str">
        <f t="shared" si="7"/>
        <v/>
      </c>
      <c r="AK10" s="212" t="str">
        <f>IFERROR(INDEX(V!$R:$R,MATCH(AL10,V!$L:$L,0)),"")</f>
        <v/>
      </c>
      <c r="AL10" s="213" t="str">
        <f t="shared" si="8"/>
        <v/>
      </c>
      <c r="AM10" s="212" t="str">
        <f>IFERROR(INDEX(V!$R:$R,MATCH(AN10,V!$L:$L,0)),"")</f>
        <v/>
      </c>
      <c r="AN10" s="213" t="str">
        <f t="shared" si="9"/>
        <v/>
      </c>
      <c r="AO10" s="212" t="str">
        <f>IFERROR(INDEX(V!$R:$R,MATCH(AP10,V!$L:$L,0)),"")</f>
        <v/>
      </c>
      <c r="AP10" s="213" t="str">
        <f t="shared" si="10"/>
        <v/>
      </c>
    </row>
    <row r="11" spans="1:42" x14ac:dyDescent="0.2">
      <c r="A11" s="333">
        <v>5</v>
      </c>
      <c r="B11" s="241" t="s">
        <v>259</v>
      </c>
      <c r="C11" s="334"/>
      <c r="D11" s="335" t="s">
        <v>222</v>
      </c>
      <c r="E11" s="336"/>
      <c r="F11" s="337"/>
      <c r="G11" s="334"/>
      <c r="H11" s="335" t="s">
        <v>222</v>
      </c>
      <c r="I11" s="336"/>
      <c r="J11" s="337"/>
      <c r="K11" s="334"/>
      <c r="L11" s="335" t="s">
        <v>222</v>
      </c>
      <c r="M11" s="336"/>
      <c r="N11" s="337"/>
      <c r="O11" s="334"/>
      <c r="P11" s="335" t="s">
        <v>222</v>
      </c>
      <c r="Q11" s="336"/>
      <c r="R11" s="337"/>
      <c r="S11" s="334"/>
      <c r="T11" s="335" t="s">
        <v>222</v>
      </c>
      <c r="U11" s="336"/>
      <c r="V11" s="337"/>
      <c r="W11" s="338">
        <f t="shared" si="0"/>
        <v>0</v>
      </c>
      <c r="X11" s="339"/>
      <c r="Y11" s="334">
        <f t="shared" si="1"/>
        <v>0</v>
      </c>
      <c r="Z11" s="335" t="s">
        <v>222</v>
      </c>
      <c r="AA11" s="340">
        <f t="shared" si="2"/>
        <v>0</v>
      </c>
      <c r="AB11" s="341">
        <f t="shared" si="3"/>
        <v>0</v>
      </c>
      <c r="AC11" s="210"/>
      <c r="AD11" s="211">
        <f t="shared" si="4"/>
        <v>277</v>
      </c>
      <c r="AE11" s="212">
        <f>IFERROR(INDEX(V!$R:$R,MATCH(AF11,V!$L:$L,0)),"")</f>
        <v>143</v>
      </c>
      <c r="AF11" s="213" t="str">
        <f t="shared" si="5"/>
        <v>Jaan Saar</v>
      </c>
      <c r="AG11" s="212">
        <f>IFERROR(INDEX(V!$R:$R,MATCH(AH11,V!$L:$L,0)),"")</f>
        <v>134</v>
      </c>
      <c r="AH11" s="213" t="str">
        <f t="shared" si="6"/>
        <v>Urmas Randlaine</v>
      </c>
      <c r="AI11" s="212" t="str">
        <f>IFERROR(INDEX(V!$R:$R,MATCH(AJ11,V!$L:$L,0)),"")</f>
        <v/>
      </c>
      <c r="AJ11" s="213" t="str">
        <f t="shared" si="7"/>
        <v/>
      </c>
      <c r="AK11" s="212" t="str">
        <f>IFERROR(INDEX(V!$R:$R,MATCH(AL11,V!$L:$L,0)),"")</f>
        <v/>
      </c>
      <c r="AL11" s="213" t="str">
        <f t="shared" si="8"/>
        <v/>
      </c>
      <c r="AM11" s="212" t="str">
        <f>IFERROR(INDEX(V!$R:$R,MATCH(AN11,V!$L:$L,0)),"")</f>
        <v/>
      </c>
      <c r="AN11" s="213" t="str">
        <f t="shared" si="9"/>
        <v/>
      </c>
      <c r="AO11" s="212" t="str">
        <f>IFERROR(INDEX(V!$R:$R,MATCH(AP11,V!$L:$L,0)),"")</f>
        <v/>
      </c>
      <c r="AP11" s="213" t="str">
        <f t="shared" si="10"/>
        <v/>
      </c>
    </row>
    <row r="12" spans="1:42" x14ac:dyDescent="0.2">
      <c r="A12" s="333">
        <v>6</v>
      </c>
      <c r="B12" s="255" t="s">
        <v>260</v>
      </c>
      <c r="C12" s="334"/>
      <c r="D12" s="335" t="s">
        <v>222</v>
      </c>
      <c r="E12" s="336"/>
      <c r="F12" s="337"/>
      <c r="G12" s="334"/>
      <c r="H12" s="335" t="s">
        <v>222</v>
      </c>
      <c r="I12" s="336"/>
      <c r="J12" s="337"/>
      <c r="K12" s="334"/>
      <c r="L12" s="335" t="s">
        <v>222</v>
      </c>
      <c r="M12" s="336"/>
      <c r="N12" s="337"/>
      <c r="O12" s="334"/>
      <c r="P12" s="335" t="s">
        <v>222</v>
      </c>
      <c r="Q12" s="336"/>
      <c r="R12" s="337"/>
      <c r="S12" s="334"/>
      <c r="T12" s="335" t="s">
        <v>222</v>
      </c>
      <c r="U12" s="336"/>
      <c r="V12" s="337"/>
      <c r="W12" s="338">
        <f t="shared" si="0"/>
        <v>0</v>
      </c>
      <c r="X12" s="339"/>
      <c r="Y12" s="334">
        <f t="shared" si="1"/>
        <v>0</v>
      </c>
      <c r="Z12" s="335" t="s">
        <v>222</v>
      </c>
      <c r="AA12" s="340">
        <f t="shared" si="2"/>
        <v>0</v>
      </c>
      <c r="AB12" s="341">
        <f t="shared" si="3"/>
        <v>0</v>
      </c>
      <c r="AC12" s="210"/>
      <c r="AD12" s="211">
        <f t="shared" ref="AD12:AD13" si="11">SUM(AE12:AL12)</f>
        <v>282</v>
      </c>
      <c r="AE12" s="212">
        <f>IFERROR(INDEX(V!$R:$R,MATCH(AF12,V!$L:$L,0)),"")</f>
        <v>141</v>
      </c>
      <c r="AF12" s="213" t="str">
        <f t="shared" si="5"/>
        <v>Enn Tokman</v>
      </c>
      <c r="AG12" s="212">
        <f>IFERROR(INDEX(V!$R:$R,MATCH(AH12,V!$L:$L,0)),"")</f>
        <v>141</v>
      </c>
      <c r="AH12" s="213" t="str">
        <f t="shared" si="6"/>
        <v>Kenneth Muusikus</v>
      </c>
      <c r="AI12" s="212" t="str">
        <f>IFERROR(INDEX(V!$R:$R,MATCH(AJ12,V!$L:$L,0)),"")</f>
        <v/>
      </c>
      <c r="AJ12" s="213" t="str">
        <f t="shared" si="7"/>
        <v/>
      </c>
      <c r="AK12" s="212" t="str">
        <f>IFERROR(INDEX(V!$R:$R,MATCH(AL12,V!$L:$L,0)),"")</f>
        <v/>
      </c>
      <c r="AL12" s="213" t="str">
        <f t="shared" si="8"/>
        <v/>
      </c>
      <c r="AM12" s="212" t="str">
        <f>IFERROR(INDEX(V!$R:$R,MATCH(AN12,V!$L:$L,0)),"")</f>
        <v/>
      </c>
      <c r="AN12" s="213" t="str">
        <f t="shared" si="9"/>
        <v/>
      </c>
      <c r="AO12" s="212" t="str">
        <f>IFERROR(INDEX(V!$R:$R,MATCH(AP12,V!$L:$L,0)),"")</f>
        <v/>
      </c>
      <c r="AP12" s="213" t="str">
        <f t="shared" si="10"/>
        <v/>
      </c>
    </row>
    <row r="13" spans="1:42" x14ac:dyDescent="0.2">
      <c r="A13" s="333">
        <v>7</v>
      </c>
      <c r="B13" s="342" t="s">
        <v>333</v>
      </c>
      <c r="C13" s="334"/>
      <c r="D13" s="335" t="s">
        <v>222</v>
      </c>
      <c r="E13" s="336"/>
      <c r="F13" s="337"/>
      <c r="G13" s="334"/>
      <c r="H13" s="335" t="s">
        <v>222</v>
      </c>
      <c r="I13" s="336"/>
      <c r="J13" s="337"/>
      <c r="K13" s="334"/>
      <c r="L13" s="335" t="s">
        <v>222</v>
      </c>
      <c r="M13" s="336"/>
      <c r="N13" s="337"/>
      <c r="O13" s="334"/>
      <c r="P13" s="335" t="s">
        <v>222</v>
      </c>
      <c r="Q13" s="336"/>
      <c r="R13" s="337"/>
      <c r="S13" s="334"/>
      <c r="T13" s="335" t="s">
        <v>222</v>
      </c>
      <c r="U13" s="336"/>
      <c r="V13" s="337"/>
      <c r="W13" s="338">
        <f t="shared" si="0"/>
        <v>0</v>
      </c>
      <c r="X13" s="339"/>
      <c r="Y13" s="334">
        <f t="shared" si="1"/>
        <v>0</v>
      </c>
      <c r="Z13" s="335" t="s">
        <v>222</v>
      </c>
      <c r="AA13" s="340">
        <f t="shared" si="2"/>
        <v>0</v>
      </c>
      <c r="AB13" s="341">
        <f t="shared" si="3"/>
        <v>0</v>
      </c>
      <c r="AC13" s="210"/>
      <c r="AD13" s="211">
        <f t="shared" si="11"/>
        <v>155</v>
      </c>
      <c r="AE13" s="212">
        <f>IFERROR(INDEX(V!$R:$R,MATCH(AF13,V!$L:$L,0)),"")</f>
        <v>52</v>
      </c>
      <c r="AF13" s="213" t="str">
        <f t="shared" si="5"/>
        <v>Oliver Ojasalu</v>
      </c>
      <c r="AG13" s="212">
        <f>IFERROR(INDEX(V!$R:$R,MATCH(AH13,V!$L:$L,0)),"")</f>
        <v>103</v>
      </c>
      <c r="AH13" s="213" t="str">
        <f t="shared" si="6"/>
        <v>Sirje Maala</v>
      </c>
      <c r="AI13" s="212" t="str">
        <f>IFERROR(INDEX(V!$R:$R,MATCH(AJ13,V!$L:$L,0)),"")</f>
        <v/>
      </c>
      <c r="AJ13" s="213" t="str">
        <f t="shared" si="7"/>
        <v/>
      </c>
      <c r="AK13" s="212" t="str">
        <f>IFERROR(INDEX(V!$R:$R,MATCH(AL13,V!$L:$L,0)),"")</f>
        <v/>
      </c>
      <c r="AL13" s="213" t="str">
        <f t="shared" si="8"/>
        <v/>
      </c>
      <c r="AM13" s="212" t="str">
        <f>IFERROR(INDEX(V!$R:$R,MATCH(AN13,V!$L:$L,0)),"")</f>
        <v/>
      </c>
      <c r="AN13" s="213" t="str">
        <f t="shared" si="9"/>
        <v/>
      </c>
      <c r="AO13" s="212" t="str">
        <f>IFERROR(INDEX(V!$R:$R,MATCH(AP13,V!$L:$L,0)),"")</f>
        <v/>
      </c>
      <c r="AP13" s="213" t="str">
        <f t="shared" si="10"/>
        <v/>
      </c>
    </row>
    <row r="14" spans="1:42" x14ac:dyDescent="0.2">
      <c r="A14" s="333">
        <v>8</v>
      </c>
      <c r="B14" s="255" t="s">
        <v>214</v>
      </c>
      <c r="C14" s="334"/>
      <c r="D14" s="335" t="s">
        <v>222</v>
      </c>
      <c r="E14" s="336"/>
      <c r="F14" s="337"/>
      <c r="G14" s="334"/>
      <c r="H14" s="335" t="s">
        <v>222</v>
      </c>
      <c r="I14" s="336"/>
      <c r="J14" s="337"/>
      <c r="K14" s="334"/>
      <c r="L14" s="335" t="s">
        <v>222</v>
      </c>
      <c r="M14" s="336"/>
      <c r="N14" s="337"/>
      <c r="O14" s="334"/>
      <c r="P14" s="335" t="s">
        <v>222</v>
      </c>
      <c r="Q14" s="336"/>
      <c r="R14" s="337"/>
      <c r="S14" s="334"/>
      <c r="T14" s="335" t="s">
        <v>222</v>
      </c>
      <c r="U14" s="336"/>
      <c r="V14" s="337"/>
      <c r="W14" s="338">
        <f t="shared" si="0"/>
        <v>0</v>
      </c>
      <c r="X14" s="339"/>
      <c r="Y14" s="334">
        <f t="shared" si="1"/>
        <v>0</v>
      </c>
      <c r="Z14" s="335" t="s">
        <v>222</v>
      </c>
      <c r="AA14" s="340">
        <f t="shared" si="2"/>
        <v>0</v>
      </c>
      <c r="AB14" s="341">
        <f t="shared" si="3"/>
        <v>0</v>
      </c>
      <c r="AD14" s="211">
        <f t="shared" ref="AD14:AD16" si="12">SUM(AE14:AL14)</f>
        <v>71</v>
      </c>
      <c r="AE14" s="212">
        <f>IFERROR(INDEX(V!$R:$R,MATCH(AF14,V!$L:$L,0)),"")</f>
        <v>31</v>
      </c>
      <c r="AF14" s="213" t="str">
        <f t="shared" si="5"/>
        <v>Ljudmila Varendi</v>
      </c>
      <c r="AG14" s="212">
        <f>IFERROR(INDEX(V!$R:$R,MATCH(AH14,V!$L:$L,0)),"")</f>
        <v>40</v>
      </c>
      <c r="AH14" s="213" t="str">
        <f t="shared" si="6"/>
        <v>Viktor Švarõgin</v>
      </c>
      <c r="AI14" s="212" t="str">
        <f>IFERROR(INDEX(V!$R:$R,MATCH(AJ14,V!$L:$L,0)),"")</f>
        <v/>
      </c>
      <c r="AJ14" s="213" t="str">
        <f t="shared" si="7"/>
        <v/>
      </c>
      <c r="AK14" s="212" t="str">
        <f>IFERROR(INDEX(V!$R:$R,MATCH(AL14,V!$L:$L,0)),"")</f>
        <v/>
      </c>
      <c r="AL14" s="213" t="str">
        <f t="shared" si="8"/>
        <v/>
      </c>
      <c r="AM14" s="212" t="str">
        <f>IFERROR(INDEX(V!$R:$R,MATCH(AN14,V!$L:$L,0)),"")</f>
        <v/>
      </c>
      <c r="AN14" s="213" t="str">
        <f t="shared" si="9"/>
        <v/>
      </c>
      <c r="AO14" s="212" t="str">
        <f>IFERROR(INDEX(V!$R:$R,MATCH(AP14,V!$L:$L,0)),"")</f>
        <v/>
      </c>
      <c r="AP14" s="213" t="str">
        <f t="shared" si="10"/>
        <v/>
      </c>
    </row>
    <row r="15" spans="1:42" x14ac:dyDescent="0.2">
      <c r="A15" s="333">
        <v>9</v>
      </c>
      <c r="B15" s="255" t="s">
        <v>261</v>
      </c>
      <c r="C15" s="334"/>
      <c r="D15" s="335" t="s">
        <v>222</v>
      </c>
      <c r="E15" s="336"/>
      <c r="F15" s="337"/>
      <c r="G15" s="334"/>
      <c r="H15" s="335" t="s">
        <v>222</v>
      </c>
      <c r="I15" s="336"/>
      <c r="J15" s="337"/>
      <c r="K15" s="334"/>
      <c r="L15" s="335" t="s">
        <v>222</v>
      </c>
      <c r="M15" s="336"/>
      <c r="N15" s="337"/>
      <c r="O15" s="334"/>
      <c r="P15" s="335" t="s">
        <v>222</v>
      </c>
      <c r="Q15" s="336"/>
      <c r="R15" s="337"/>
      <c r="S15" s="334"/>
      <c r="T15" s="335" t="s">
        <v>222</v>
      </c>
      <c r="U15" s="336"/>
      <c r="V15" s="337"/>
      <c r="W15" s="338">
        <f t="shared" si="0"/>
        <v>0</v>
      </c>
      <c r="X15" s="339"/>
      <c r="Y15" s="334">
        <f t="shared" si="1"/>
        <v>0</v>
      </c>
      <c r="Z15" s="335" t="s">
        <v>222</v>
      </c>
      <c r="AA15" s="340">
        <f t="shared" si="2"/>
        <v>0</v>
      </c>
      <c r="AB15" s="341">
        <f t="shared" si="3"/>
        <v>0</v>
      </c>
      <c r="AD15" s="211">
        <f t="shared" si="12"/>
        <v>106</v>
      </c>
      <c r="AE15" s="212">
        <f>IFERROR(INDEX(V!$R:$R,MATCH(AF15,V!$L:$L,0)),"")</f>
        <v>53</v>
      </c>
      <c r="AF15" s="213" t="str">
        <f t="shared" si="5"/>
        <v>Lemmit Toomra</v>
      </c>
      <c r="AG15" s="212">
        <f>IFERROR(INDEX(V!$R:$R,MATCH(AH15,V!$L:$L,0)),"")</f>
        <v>53</v>
      </c>
      <c r="AH15" s="213" t="str">
        <f t="shared" si="6"/>
        <v>Tõnu Kapper</v>
      </c>
      <c r="AI15" s="212" t="str">
        <f>IFERROR(INDEX(V!$R:$R,MATCH(AJ15,V!$L:$L,0)),"")</f>
        <v/>
      </c>
      <c r="AJ15" s="213" t="str">
        <f t="shared" si="7"/>
        <v/>
      </c>
      <c r="AK15" s="212" t="str">
        <f>IFERROR(INDEX(V!$R:$R,MATCH(AL15,V!$L:$L,0)),"")</f>
        <v/>
      </c>
      <c r="AL15" s="213" t="str">
        <f t="shared" si="8"/>
        <v/>
      </c>
      <c r="AM15" s="212" t="str">
        <f>IFERROR(INDEX(V!$R:$R,MATCH(AN15,V!$L:$L,0)),"")</f>
        <v/>
      </c>
      <c r="AN15" s="213" t="str">
        <f t="shared" si="9"/>
        <v/>
      </c>
      <c r="AO15" s="212" t="str">
        <f>IFERROR(INDEX(V!$R:$R,MATCH(AP15,V!$L:$L,0)),"")</f>
        <v/>
      </c>
      <c r="AP15" s="213" t="str">
        <f t="shared" si="10"/>
        <v/>
      </c>
    </row>
    <row r="16" spans="1:42" x14ac:dyDescent="0.2">
      <c r="A16" s="333">
        <v>10</v>
      </c>
      <c r="B16" s="342" t="s">
        <v>334</v>
      </c>
      <c r="C16" s="334"/>
      <c r="D16" s="335" t="s">
        <v>222</v>
      </c>
      <c r="E16" s="336"/>
      <c r="F16" s="337"/>
      <c r="G16" s="334"/>
      <c r="H16" s="335" t="s">
        <v>222</v>
      </c>
      <c r="I16" s="336"/>
      <c r="J16" s="337"/>
      <c r="K16" s="334"/>
      <c r="L16" s="335" t="s">
        <v>222</v>
      </c>
      <c r="M16" s="336"/>
      <c r="N16" s="337"/>
      <c r="O16" s="334"/>
      <c r="P16" s="335" t="s">
        <v>222</v>
      </c>
      <c r="Q16" s="336"/>
      <c r="R16" s="337"/>
      <c r="S16" s="334"/>
      <c r="T16" s="335" t="s">
        <v>222</v>
      </c>
      <c r="U16" s="336"/>
      <c r="V16" s="337"/>
      <c r="W16" s="338">
        <f t="shared" si="0"/>
        <v>0</v>
      </c>
      <c r="X16" s="339"/>
      <c r="Y16" s="334">
        <f t="shared" si="1"/>
        <v>0</v>
      </c>
      <c r="Z16" s="335" t="s">
        <v>222</v>
      </c>
      <c r="AA16" s="340">
        <f t="shared" si="2"/>
        <v>0</v>
      </c>
      <c r="AB16" s="341">
        <f t="shared" si="3"/>
        <v>0</v>
      </c>
      <c r="AD16" s="211">
        <f t="shared" si="12"/>
        <v>47</v>
      </c>
      <c r="AE16" s="212">
        <f>IFERROR(INDEX(V!$R:$R,MATCH(AF16,V!$L:$L,0)),"")</f>
        <v>23</v>
      </c>
      <c r="AF16" s="213" t="str">
        <f t="shared" si="5"/>
        <v>Aarne Välja</v>
      </c>
      <c r="AG16" s="212">
        <f>IFERROR(INDEX(V!$R:$R,MATCH(AH16,V!$L:$L,0)),"")</f>
        <v>24</v>
      </c>
      <c r="AH16" s="213" t="str">
        <f t="shared" si="6"/>
        <v>Ivar Viljaste</v>
      </c>
      <c r="AI16" s="212" t="str">
        <f>IFERROR(INDEX(V!$R:$R,MATCH(AJ16,V!$L:$L,0)),"")</f>
        <v/>
      </c>
      <c r="AJ16" s="213" t="str">
        <f t="shared" si="7"/>
        <v/>
      </c>
      <c r="AK16" s="212" t="str">
        <f>IFERROR(INDEX(V!$R:$R,MATCH(AL16,V!$L:$L,0)),"")</f>
        <v/>
      </c>
      <c r="AL16" s="213" t="str">
        <f t="shared" si="8"/>
        <v/>
      </c>
      <c r="AM16" s="212" t="str">
        <f>IFERROR(INDEX(V!$R:$R,MATCH(AN16,V!$L:$L,0)),"")</f>
        <v/>
      </c>
      <c r="AN16" s="213" t="str">
        <f t="shared" si="9"/>
        <v/>
      </c>
      <c r="AO16" s="212" t="str">
        <f>IFERROR(INDEX(V!$R:$R,MATCH(AP16,V!$L:$L,0)),"")</f>
        <v/>
      </c>
      <c r="AP16" s="213" t="str">
        <f t="shared" si="10"/>
        <v/>
      </c>
    </row>
    <row r="17" spans="1:42" x14ac:dyDescent="0.2">
      <c r="A17" s="333">
        <v>11</v>
      </c>
      <c r="B17" s="255" t="s">
        <v>279</v>
      </c>
      <c r="C17" s="334"/>
      <c r="D17" s="335" t="s">
        <v>222</v>
      </c>
      <c r="E17" s="336"/>
      <c r="F17" s="337"/>
      <c r="G17" s="334"/>
      <c r="H17" s="335" t="s">
        <v>222</v>
      </c>
      <c r="I17" s="336"/>
      <c r="J17" s="337"/>
      <c r="K17" s="334"/>
      <c r="L17" s="335" t="s">
        <v>222</v>
      </c>
      <c r="M17" s="336"/>
      <c r="N17" s="337"/>
      <c r="O17" s="334"/>
      <c r="P17" s="335" t="s">
        <v>222</v>
      </c>
      <c r="Q17" s="336"/>
      <c r="R17" s="337"/>
      <c r="S17" s="334"/>
      <c r="T17" s="335" t="s">
        <v>222</v>
      </c>
      <c r="U17" s="336"/>
      <c r="V17" s="337"/>
      <c r="W17" s="338">
        <f t="shared" ref="W17:W19" si="13">IF(C17&gt;E17,W$2,IF(C17&lt;E17,W$4,IF(ISNUMBER(C17),W$3,0)))+IF(G17&gt;I17,W$2,IF(G17&lt;I17,W$4,IF(ISNUMBER(G17),W$3,0)))+IF(K17&gt;M17,W$2,IF(K17&lt;M17,W$4,IF(ISNUMBER(K17),W$3,0)))+IF(O17&gt;Q17,W$2,IF(O17&lt;Q17,W$4,IF(ISNUMBER(O17),W$3,0)))+IF(S17&gt;U17,W$2,IF(S17&lt;U17,W$4,IF(ISNUMBER(S17),W$3,0)))</f>
        <v>0</v>
      </c>
      <c r="X17" s="339"/>
      <c r="Y17" s="334">
        <f t="shared" ref="Y17:Y19" si="14">C17+G17+K17+O17+S17</f>
        <v>0</v>
      </c>
      <c r="Z17" s="335" t="s">
        <v>222</v>
      </c>
      <c r="AA17" s="340">
        <f t="shared" ref="AA17:AA19" si="15">E17+I17+M17+Q17+U17</f>
        <v>0</v>
      </c>
      <c r="AB17" s="341">
        <f t="shared" ref="AB17:AB19" si="16">Y17-AA17</f>
        <v>0</v>
      </c>
      <c r="AD17" s="211">
        <f t="shared" ref="AD17:AD19" si="17">SUM(AE17:AL17)</f>
        <v>241</v>
      </c>
      <c r="AE17" s="212">
        <f>IFERROR(INDEX(V!$R:$R,MATCH(AF17,V!$L:$L,0)),"")</f>
        <v>98</v>
      </c>
      <c r="AF17" s="213" t="str">
        <f t="shared" si="5"/>
        <v>Annaliset Neiland</v>
      </c>
      <c r="AG17" s="212">
        <f>IFERROR(INDEX(V!$R:$R,MATCH(AH17,V!$L:$L,0)),"")</f>
        <v>143</v>
      </c>
      <c r="AH17" s="213" t="str">
        <f t="shared" si="6"/>
        <v>Hillar Neiland</v>
      </c>
      <c r="AI17" s="212" t="str">
        <f>IFERROR(INDEX(V!$R:$R,MATCH(AJ17,V!$L:$L,0)),"")</f>
        <v/>
      </c>
      <c r="AJ17" s="213" t="str">
        <f t="shared" si="7"/>
        <v/>
      </c>
      <c r="AK17" s="212" t="str">
        <f>IFERROR(INDEX(V!$R:$R,MATCH(AL17,V!$L:$L,0)),"")</f>
        <v/>
      </c>
      <c r="AL17" s="213" t="str">
        <f t="shared" si="8"/>
        <v/>
      </c>
      <c r="AM17" s="212" t="str">
        <f>IFERROR(INDEX(V!$R:$R,MATCH(AN17,V!$L:$L,0)),"")</f>
        <v/>
      </c>
      <c r="AN17" s="213" t="str">
        <f t="shared" si="9"/>
        <v/>
      </c>
      <c r="AO17" s="212" t="str">
        <f>IFERROR(INDEX(V!$R:$R,MATCH(AP17,V!$L:$L,0)),"")</f>
        <v/>
      </c>
      <c r="AP17" s="213" t="str">
        <f t="shared" si="10"/>
        <v/>
      </c>
    </row>
    <row r="18" spans="1:42" x14ac:dyDescent="0.2">
      <c r="A18" s="333">
        <v>12</v>
      </c>
      <c r="B18" s="255" t="s">
        <v>335</v>
      </c>
      <c r="C18" s="334"/>
      <c r="D18" s="335" t="s">
        <v>222</v>
      </c>
      <c r="E18" s="336"/>
      <c r="F18" s="337"/>
      <c r="G18" s="334"/>
      <c r="H18" s="335" t="s">
        <v>222</v>
      </c>
      <c r="I18" s="336"/>
      <c r="J18" s="337"/>
      <c r="K18" s="334"/>
      <c r="L18" s="335" t="s">
        <v>222</v>
      </c>
      <c r="M18" s="336"/>
      <c r="N18" s="337"/>
      <c r="O18" s="334"/>
      <c r="P18" s="335" t="s">
        <v>222</v>
      </c>
      <c r="Q18" s="336"/>
      <c r="R18" s="337"/>
      <c r="S18" s="334"/>
      <c r="T18" s="335" t="s">
        <v>222</v>
      </c>
      <c r="U18" s="336"/>
      <c r="V18" s="337"/>
      <c r="W18" s="338">
        <f t="shared" si="13"/>
        <v>0</v>
      </c>
      <c r="X18" s="339"/>
      <c r="Y18" s="334">
        <f t="shared" si="14"/>
        <v>0</v>
      </c>
      <c r="Z18" s="335" t="s">
        <v>222</v>
      </c>
      <c r="AA18" s="340">
        <f t="shared" si="15"/>
        <v>0</v>
      </c>
      <c r="AB18" s="341">
        <f t="shared" si="16"/>
        <v>0</v>
      </c>
      <c r="AD18" s="211">
        <f t="shared" si="17"/>
        <v>80</v>
      </c>
      <c r="AE18" s="212">
        <f>IFERROR(INDEX(V!$R:$R,MATCH(AF18,V!$L:$L,0)),"")</f>
        <v>25</v>
      </c>
      <c r="AF18" s="213" t="str">
        <f t="shared" si="5"/>
        <v>Airi Veski</v>
      </c>
      <c r="AG18" s="212">
        <f>IFERROR(INDEX(V!$R:$R,MATCH(AH18,V!$L:$L,0)),"")</f>
        <v>55</v>
      </c>
      <c r="AH18" s="213" t="str">
        <f t="shared" si="6"/>
        <v>Svetlana Veski</v>
      </c>
      <c r="AI18" s="212" t="str">
        <f>IFERROR(INDEX(V!$R:$R,MATCH(AJ18,V!$L:$L,0)),"")</f>
        <v/>
      </c>
      <c r="AJ18" s="213" t="str">
        <f t="shared" si="7"/>
        <v/>
      </c>
      <c r="AK18" s="212" t="str">
        <f>IFERROR(INDEX(V!$R:$R,MATCH(AL18,V!$L:$L,0)),"")</f>
        <v/>
      </c>
      <c r="AL18" s="213" t="str">
        <f t="shared" si="8"/>
        <v/>
      </c>
      <c r="AM18" s="212" t="str">
        <f>IFERROR(INDEX(V!$R:$R,MATCH(AN18,V!$L:$L,0)),"")</f>
        <v/>
      </c>
      <c r="AN18" s="213" t="str">
        <f t="shared" si="9"/>
        <v/>
      </c>
      <c r="AO18" s="212" t="str">
        <f>IFERROR(INDEX(V!$R:$R,MATCH(AP18,V!$L:$L,0)),"")</f>
        <v/>
      </c>
      <c r="AP18" s="213" t="str">
        <f t="shared" si="10"/>
        <v/>
      </c>
    </row>
    <row r="19" spans="1:42" x14ac:dyDescent="0.2">
      <c r="A19" s="333">
        <v>13</v>
      </c>
      <c r="B19" s="342" t="s">
        <v>336</v>
      </c>
      <c r="C19" s="334"/>
      <c r="D19" s="335" t="s">
        <v>222</v>
      </c>
      <c r="E19" s="336"/>
      <c r="F19" s="337"/>
      <c r="G19" s="334"/>
      <c r="H19" s="335" t="s">
        <v>222</v>
      </c>
      <c r="I19" s="336"/>
      <c r="J19" s="337"/>
      <c r="K19" s="334"/>
      <c r="L19" s="335" t="s">
        <v>222</v>
      </c>
      <c r="M19" s="336"/>
      <c r="N19" s="337"/>
      <c r="O19" s="334"/>
      <c r="P19" s="335" t="s">
        <v>222</v>
      </c>
      <c r="Q19" s="336"/>
      <c r="R19" s="337"/>
      <c r="S19" s="334"/>
      <c r="T19" s="335" t="s">
        <v>222</v>
      </c>
      <c r="U19" s="336"/>
      <c r="V19" s="337"/>
      <c r="W19" s="338">
        <f t="shared" si="13"/>
        <v>0</v>
      </c>
      <c r="X19" s="339"/>
      <c r="Y19" s="334">
        <f t="shared" si="14"/>
        <v>0</v>
      </c>
      <c r="Z19" s="335" t="s">
        <v>222</v>
      </c>
      <c r="AA19" s="340">
        <f t="shared" si="15"/>
        <v>0</v>
      </c>
      <c r="AB19" s="341">
        <f t="shared" si="16"/>
        <v>0</v>
      </c>
      <c r="AD19" s="211">
        <f t="shared" si="17"/>
        <v>168</v>
      </c>
      <c r="AE19" s="212">
        <f>IFERROR(INDEX(V!$R:$R,MATCH(AF19,V!$L:$L,0)),"")</f>
        <v>51</v>
      </c>
      <c r="AF19" s="213" t="str">
        <f t="shared" si="5"/>
        <v>Aleksander Korikov</v>
      </c>
      <c r="AG19" s="212">
        <f>IFERROR(INDEX(V!$R:$R,MATCH(AH19,V!$L:$L,0)),"")</f>
        <v>117</v>
      </c>
      <c r="AH19" s="213" t="str">
        <f t="shared" si="6"/>
        <v>Oleg Rõndenkov</v>
      </c>
      <c r="AI19" s="212" t="str">
        <f>IFERROR(INDEX(V!$R:$R,MATCH(AJ19,V!$L:$L,0)),"")</f>
        <v/>
      </c>
      <c r="AJ19" s="213" t="str">
        <f t="shared" si="7"/>
        <v/>
      </c>
      <c r="AK19" s="212" t="str">
        <f>IFERROR(INDEX(V!$R:$R,MATCH(AL19,V!$L:$L,0)),"")</f>
        <v/>
      </c>
      <c r="AL19" s="213" t="str">
        <f t="shared" si="8"/>
        <v/>
      </c>
      <c r="AM19" s="212" t="str">
        <f>IFERROR(INDEX(V!$R:$R,MATCH(AN19,V!$L:$L,0)),"")</f>
        <v/>
      </c>
      <c r="AN19" s="213" t="str">
        <f t="shared" si="9"/>
        <v/>
      </c>
      <c r="AO19" s="212" t="str">
        <f>IFERROR(INDEX(V!$R:$R,MATCH(AP19,V!$L:$L,0)),"")</f>
        <v/>
      </c>
      <c r="AP19" s="213" t="str">
        <f t="shared" si="10"/>
        <v/>
      </c>
    </row>
    <row r="22" spans="1:42" hidden="1" x14ac:dyDescent="0.2"/>
    <row r="23" spans="1:42" hidden="1" x14ac:dyDescent="0.2"/>
    <row r="24" spans="1:42" hidden="1" x14ac:dyDescent="0.2"/>
    <row r="25" spans="1:42" hidden="1" x14ac:dyDescent="0.2"/>
    <row r="26" spans="1:42" hidden="1" x14ac:dyDescent="0.2"/>
    <row r="27" spans="1:42" hidden="1" x14ac:dyDescent="0.2"/>
    <row r="28" spans="1:42" hidden="1" x14ac:dyDescent="0.2"/>
    <row r="29" spans="1:42" hidden="1" x14ac:dyDescent="0.2"/>
    <row r="30" spans="1:42" hidden="1" x14ac:dyDescent="0.2"/>
    <row r="31" spans="1:42" hidden="1" x14ac:dyDescent="0.2"/>
    <row r="32" spans="1:4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7" spans="1:6" hidden="1" x14ac:dyDescent="0.2"/>
    <row r="298" spans="1:6" hidden="1" x14ac:dyDescent="0.2"/>
    <row r="299" spans="1:6" x14ac:dyDescent="0.2">
      <c r="A299" s="157"/>
      <c r="B299" s="157"/>
      <c r="C299" s="207" t="s">
        <v>190</v>
      </c>
      <c r="F299" s="724" t="s">
        <v>79</v>
      </c>
    </row>
    <row r="300" spans="1:6" x14ac:dyDescent="0.2">
      <c r="A300" s="301">
        <v>1</v>
      </c>
      <c r="B300" s="344" t="str">
        <f>IFERROR(INDEX(B$1:B$100,MATCH(A300,A$1:A$100,0)),"")</f>
        <v>Henri Mitt, Tõnis Neiland</v>
      </c>
      <c r="C300" s="274">
        <f t="shared" ref="C300:C311" si="18">LARGE(A300:A400,1)*2+2-A300*2</f>
        <v>26</v>
      </c>
      <c r="F300" s="724">
        <v>4</v>
      </c>
    </row>
    <row r="301" spans="1:6" x14ac:dyDescent="0.2">
      <c r="A301" s="301">
        <v>2</v>
      </c>
      <c r="B301" s="344" t="str">
        <f t="shared" ref="B301:B309" si="19">IFERROR(INDEX(B$1:B$100,MATCH(A301,A$1:A$100,0)),"")</f>
        <v>Olav Türk, Urmas Jõeäär</v>
      </c>
      <c r="C301" s="274">
        <f t="shared" si="18"/>
        <v>24</v>
      </c>
      <c r="F301" s="724">
        <v>3</v>
      </c>
    </row>
    <row r="302" spans="1:6" x14ac:dyDescent="0.2">
      <c r="A302" s="301">
        <v>3</v>
      </c>
      <c r="B302" s="344" t="str">
        <f t="shared" si="19"/>
        <v>Kaspar Mänd, Sander Rose</v>
      </c>
      <c r="C302" s="274">
        <f t="shared" si="18"/>
        <v>22</v>
      </c>
      <c r="F302" s="724">
        <v>3</v>
      </c>
    </row>
    <row r="303" spans="1:6" x14ac:dyDescent="0.2">
      <c r="A303" s="301">
        <v>4</v>
      </c>
      <c r="B303" s="344" t="str">
        <f t="shared" si="19"/>
        <v>Marta Bernat, Peep Peenema</v>
      </c>
      <c r="C303" s="274">
        <f t="shared" si="18"/>
        <v>20</v>
      </c>
      <c r="F303" s="724">
        <v>2</v>
      </c>
    </row>
    <row r="304" spans="1:6" x14ac:dyDescent="0.2">
      <c r="A304" s="301">
        <v>5</v>
      </c>
      <c r="B304" s="344" t="str">
        <f t="shared" si="19"/>
        <v>Jaan Saar, Urmas Randlaine</v>
      </c>
      <c r="C304" s="274">
        <f t="shared" si="18"/>
        <v>18</v>
      </c>
      <c r="F304" s="724">
        <v>2</v>
      </c>
    </row>
    <row r="305" spans="1:6" x14ac:dyDescent="0.2">
      <c r="A305" s="301">
        <v>6</v>
      </c>
      <c r="B305" s="344" t="str">
        <f t="shared" si="19"/>
        <v>Enn Tokman, Kenneth Muusikus</v>
      </c>
      <c r="C305" s="274">
        <f t="shared" si="18"/>
        <v>16</v>
      </c>
      <c r="F305" s="724">
        <v>2</v>
      </c>
    </row>
    <row r="306" spans="1:6" x14ac:dyDescent="0.2">
      <c r="A306" s="301">
        <v>7</v>
      </c>
      <c r="B306" s="344" t="str">
        <f t="shared" si="19"/>
        <v>Oliver Ojasalu, Sirje Maala</v>
      </c>
      <c r="C306" s="274">
        <f t="shared" si="18"/>
        <v>14</v>
      </c>
      <c r="F306" s="724">
        <v>2</v>
      </c>
    </row>
    <row r="307" spans="1:6" x14ac:dyDescent="0.2">
      <c r="A307" s="301">
        <v>8</v>
      </c>
      <c r="B307" s="344" t="str">
        <f t="shared" si="19"/>
        <v>Ljudmila Varendi, Viktor Švarõgin</v>
      </c>
      <c r="C307" s="274">
        <f t="shared" si="18"/>
        <v>12</v>
      </c>
      <c r="F307" s="724">
        <v>2</v>
      </c>
    </row>
    <row r="308" spans="1:6" x14ac:dyDescent="0.2">
      <c r="A308" s="301">
        <v>9</v>
      </c>
      <c r="B308" s="344" t="str">
        <f t="shared" si="19"/>
        <v>Lemmit Toomra, Tõnu Kapper</v>
      </c>
      <c r="C308" s="274">
        <f t="shared" si="18"/>
        <v>10</v>
      </c>
      <c r="F308" s="724">
        <v>2</v>
      </c>
    </row>
    <row r="309" spans="1:6" x14ac:dyDescent="0.2">
      <c r="A309" s="301">
        <v>10</v>
      </c>
      <c r="B309" s="344" t="str">
        <f t="shared" si="19"/>
        <v>Aarne Välja, Ivar Viljaste</v>
      </c>
      <c r="C309" s="274">
        <f t="shared" si="18"/>
        <v>8</v>
      </c>
      <c r="F309" s="724">
        <v>2</v>
      </c>
    </row>
    <row r="310" spans="1:6" x14ac:dyDescent="0.2">
      <c r="A310" s="301">
        <v>11</v>
      </c>
      <c r="B310" s="344" t="str">
        <f t="shared" ref="B310:B312" si="20">IFERROR(INDEX(B$1:B$100,MATCH(A310,A$1:A$100,0)),"")</f>
        <v>Annaliset Neiland, Hillar Neiland</v>
      </c>
      <c r="C310" s="274">
        <f t="shared" si="18"/>
        <v>6</v>
      </c>
      <c r="F310" s="724">
        <v>2</v>
      </c>
    </row>
    <row r="311" spans="1:6" x14ac:dyDescent="0.2">
      <c r="A311" s="301">
        <v>12</v>
      </c>
      <c r="B311" s="344" t="str">
        <f t="shared" si="20"/>
        <v>Airi Veski, Svetlana Veski</v>
      </c>
      <c r="C311" s="274">
        <f t="shared" si="18"/>
        <v>4</v>
      </c>
      <c r="F311" s="724">
        <v>1</v>
      </c>
    </row>
    <row r="312" spans="1:6" x14ac:dyDescent="0.2">
      <c r="A312" s="301">
        <v>13</v>
      </c>
      <c r="B312" s="344" t="str">
        <f t="shared" si="20"/>
        <v>Aleksander Korikov, Oleg Rõndenkov</v>
      </c>
      <c r="C312" s="274">
        <f t="shared" ref="C312" si="21">LARGE(A312:A412,1)*2+2-A312*2</f>
        <v>2</v>
      </c>
      <c r="F312" s="724">
        <v>1</v>
      </c>
    </row>
  </sheetData>
  <conditionalFormatting sqref="C7:C19 G7:G19 K7:K19 O7:O19 S7:S19">
    <cfRule type="expression" dxfId="515" priority="12">
      <formula>AND(C7=0,E7=13)</formula>
    </cfRule>
  </conditionalFormatting>
  <conditionalFormatting sqref="C7:C19">
    <cfRule type="expression" dxfId="514" priority="26">
      <formula>IF($C7&gt;$E7,TRUE)</formula>
    </cfRule>
  </conditionalFormatting>
  <conditionalFormatting sqref="E7:E19">
    <cfRule type="expression" dxfId="513" priority="27">
      <formula>IF($C7&lt;$E7,TRUE)</formula>
    </cfRule>
  </conditionalFormatting>
  <conditionalFormatting sqref="K7:K19">
    <cfRule type="expression" dxfId="512" priority="34">
      <formula>IF($K7&gt;$M7,TRUE)</formula>
    </cfRule>
  </conditionalFormatting>
  <conditionalFormatting sqref="M7:M19">
    <cfRule type="expression" dxfId="511" priority="35">
      <formula>IF($K7&lt;$M7,TRUE)</formula>
    </cfRule>
  </conditionalFormatting>
  <conditionalFormatting sqref="O7:O19">
    <cfRule type="expression" dxfId="510" priority="38">
      <formula>IF($O7&gt;$Q7,TRUE)</formula>
    </cfRule>
  </conditionalFormatting>
  <conditionalFormatting sqref="Q7:Q19">
    <cfRule type="expression" dxfId="509" priority="39">
      <formula>IF($O7&lt;$Q7,TRUE)</formula>
    </cfRule>
  </conditionalFormatting>
  <conditionalFormatting sqref="S7:S19">
    <cfRule type="expression" dxfId="508" priority="42">
      <formula>IF($S7&gt;$U7,TRUE)</formula>
    </cfRule>
  </conditionalFormatting>
  <conditionalFormatting sqref="U7:U19">
    <cfRule type="expression" dxfId="507" priority="43">
      <formula>IF($S7&lt;$U7,TRUE)</formula>
    </cfRule>
  </conditionalFormatting>
  <conditionalFormatting sqref="G7:G19">
    <cfRule type="expression" dxfId="506" priority="30">
      <formula>IF($G7&gt;$I7,TRUE)</formula>
    </cfRule>
  </conditionalFormatting>
  <conditionalFormatting sqref="I7:I19">
    <cfRule type="expression" dxfId="505" priority="31">
      <formula>IF($G7&lt;$I7,TRUE)</formula>
    </cfRule>
  </conditionalFormatting>
  <conditionalFormatting sqref="F7:F19">
    <cfRule type="containsText" dxfId="504" priority="17" operator="containsText" text="vaba voor">
      <formula>NOT(ISERROR(SEARCH("vaba voor",F7)))</formula>
    </cfRule>
  </conditionalFormatting>
  <conditionalFormatting sqref="N7:N19">
    <cfRule type="containsText" dxfId="503" priority="15" operator="containsText" text="vaba voor">
      <formula>NOT(ISERROR(SEARCH("vaba voor",N7)))</formula>
    </cfRule>
  </conditionalFormatting>
  <conditionalFormatting sqref="R7:R19">
    <cfRule type="containsText" dxfId="502" priority="18" operator="containsText" text="vaba voor">
      <formula>NOT(ISERROR(SEARCH("vaba voor",R7)))</formula>
    </cfRule>
  </conditionalFormatting>
  <conditionalFormatting sqref="V7:V19">
    <cfRule type="containsText" dxfId="501" priority="14" operator="containsText" text="vaba voor">
      <formula>NOT(ISERROR(SEARCH("vaba voor",V7)))</formula>
    </cfRule>
  </conditionalFormatting>
  <conditionalFormatting sqref="J7:J19">
    <cfRule type="containsText" dxfId="500" priority="16" operator="containsText" text="vaba voor">
      <formula>NOT(ISERROR(SEARCH("vaba voor",J7)))</formula>
    </cfRule>
  </conditionalFormatting>
  <conditionalFormatting sqref="C7:F19">
    <cfRule type="expression" dxfId="499" priority="22">
      <formula>IF(AND(ISNUMBER($C7),$C7=$E7),TRUE)</formula>
    </cfRule>
    <cfRule type="expression" dxfId="498" priority="24">
      <formula>IF($C7&gt;$E7,TRUE)</formula>
    </cfRule>
    <cfRule type="expression" dxfId="497" priority="25">
      <formula>IF($C7&lt;$E7,TRUE)</formula>
    </cfRule>
  </conditionalFormatting>
  <conditionalFormatting sqref="G7:J19">
    <cfRule type="expression" dxfId="496" priority="23">
      <formula>IF(AND(ISNUMBER($G7),$G7=$I7),TRUE)</formula>
    </cfRule>
    <cfRule type="expression" dxfId="495" priority="28">
      <formula>IF($G7&gt;$I7,TRUE)</formula>
    </cfRule>
    <cfRule type="expression" dxfId="494" priority="29">
      <formula>IF($G7&lt;$I7,TRUE)</formula>
    </cfRule>
  </conditionalFormatting>
  <conditionalFormatting sqref="K7:N19">
    <cfRule type="expression" dxfId="493" priority="21">
      <formula>IF(AND(ISNUMBER($K7),$K7=$M7),TRUE)</formula>
    </cfRule>
    <cfRule type="expression" dxfId="492" priority="32">
      <formula>IF($K7&gt;$M7,TRUE)</formula>
    </cfRule>
    <cfRule type="expression" dxfId="491" priority="33">
      <formula>IF($K7&lt;$M7,TRUE)</formula>
    </cfRule>
  </conditionalFormatting>
  <conditionalFormatting sqref="O7:R19">
    <cfRule type="expression" dxfId="490" priority="20">
      <formula>IF(AND(ISNUMBER($O7),$O7=$Q7),TRUE)</formula>
    </cfRule>
    <cfRule type="expression" dxfId="489" priority="36">
      <formula>IF($O7&gt;$Q7,TRUE)</formula>
    </cfRule>
    <cfRule type="expression" dxfId="488" priority="37">
      <formula>IF($O7&lt;$Q7,TRUE)</formula>
    </cfRule>
  </conditionalFormatting>
  <conditionalFormatting sqref="S7:V19">
    <cfRule type="expression" dxfId="487" priority="19">
      <formula>IF(AND(ISNUMBER($S7),$S7=$U7),TRUE)</formula>
    </cfRule>
    <cfRule type="expression" dxfId="486" priority="40">
      <formula>IF($S7&gt;$U7,TRUE)</formula>
    </cfRule>
    <cfRule type="expression" dxfId="485" priority="41">
      <formula>IF($S7&lt;$U7,TRUE)</formula>
    </cfRule>
  </conditionalFormatting>
  <conditionalFormatting sqref="E7:E19 I7:I19 M7:M19 Q7:Q19 U7:U19">
    <cfRule type="expression" dxfId="484" priority="13">
      <formula>AND(E7=0,C7=13)</formula>
    </cfRule>
  </conditionalFormatting>
  <conditionalFormatting sqref="A7:A19">
    <cfRule type="duplicateValues" dxfId="483" priority="44"/>
  </conditionalFormatting>
  <conditionalFormatting sqref="AJ7:AJ19">
    <cfRule type="expression" dxfId="482" priority="5">
      <formula>AND(AI7="",FIND(",",AJ7))</formula>
    </cfRule>
    <cfRule type="expression" dxfId="481" priority="7">
      <formula>AND(AI7="",COUNTIF(AJ7,"*,*")=0)</formula>
    </cfRule>
  </conditionalFormatting>
  <conditionalFormatting sqref="AH7:AH19">
    <cfRule type="expression" dxfId="480" priority="8">
      <formula>AND(AG7="",FIND(",",AH7))</formula>
    </cfRule>
    <cfRule type="expression" dxfId="479" priority="9">
      <formula>AND(AG7="",COUNTIF(AH7,"*,*")=0)</formula>
    </cfRule>
  </conditionalFormatting>
  <conditionalFormatting sqref="AL7:AL19">
    <cfRule type="expression" dxfId="478" priority="10">
      <formula>AND(AK7="",FIND(",",AL7))</formula>
    </cfRule>
    <cfRule type="expression" dxfId="477" priority="11">
      <formula>AND(AK7="",COUNTIF(AL7,"*,*")=0)</formula>
    </cfRule>
  </conditionalFormatting>
  <conditionalFormatting sqref="AF7:AF19">
    <cfRule type="expression" dxfId="476" priority="6">
      <formula>AND(AE7="",COUNTIF(AF7,"*,*")=0)</formula>
    </cfRule>
  </conditionalFormatting>
  <conditionalFormatting sqref="AN7:AN19">
    <cfRule type="expression" dxfId="475" priority="2">
      <formula>AND(AM7="",COUNTIF(AN7,"*,*")=0)</formula>
    </cfRule>
    <cfRule type="expression" dxfId="474" priority="4">
      <formula>AND(AM7="",FIND(",",AN7))</formula>
    </cfRule>
  </conditionalFormatting>
  <conditionalFormatting sqref="AP7:AP19">
    <cfRule type="expression" dxfId="473" priority="1">
      <formula>AND(AO7="",COUNTIF(AP7,"*,*")=0)</formula>
    </cfRule>
    <cfRule type="expression" dxfId="472" priority="3">
      <formula>AND(AO7="",FIND(",",AP7))</formula>
    </cfRule>
  </conditionalFormatting>
  <conditionalFormatting sqref="B300:B312">
    <cfRule type="expression" dxfId="471" priority="45">
      <formula>A300=3</formula>
    </cfRule>
    <cfRule type="expression" dxfId="470" priority="46">
      <formula>A300=2</formula>
    </cfRule>
    <cfRule type="expression" dxfId="469" priority="47">
      <formula>A300=1</formula>
    </cfRule>
    <cfRule type="containsBlanks" dxfId="468" priority="48">
      <formula>LEN(TRIM(B300))=0</formula>
    </cfRule>
    <cfRule type="duplicateValues" dxfId="467" priority="49"/>
  </conditionalFormatting>
  <pageMargins left="0.78740157480314965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05"/>
  <sheetViews>
    <sheetView showGridLines="0" showRowColHeaders="0" workbookViewId="0">
      <pane ySplit="1" topLeftCell="A2" activePane="bottomLeft" state="frozen"/>
      <selection pane="bottomLeft" activeCell="A5" sqref="A5"/>
    </sheetView>
  </sheetViews>
  <sheetFormatPr defaultRowHeight="12.75" x14ac:dyDescent="0.2"/>
  <cols>
    <col min="1" max="1" width="3.28515625" style="1" customWidth="1"/>
    <col min="2" max="2" width="43.140625" style="1" bestFit="1" customWidth="1"/>
    <col min="3" max="9" width="5.85546875" style="1" customWidth="1"/>
    <col min="10" max="10" width="5.5703125" style="1" customWidth="1"/>
    <col min="11" max="15" width="5.5703125" style="1" hidden="1" customWidth="1"/>
    <col min="16" max="18" width="9.140625" style="1" hidden="1" customWidth="1"/>
    <col min="19" max="20" width="11.5703125" style="1" hidden="1" customWidth="1"/>
    <col min="21" max="27" width="0" style="1" hidden="1" customWidth="1"/>
    <col min="28" max="28" width="9.140625" style="1" hidden="1" customWidth="1"/>
    <col min="29" max="29" width="9.140625" style="1" customWidth="1"/>
    <col min="30" max="31" width="9.140625" style="1" hidden="1" customWidth="1"/>
    <col min="32" max="32" width="15.5703125" style="1" hidden="1" customWidth="1"/>
    <col min="33" max="33" width="9.140625" style="1" hidden="1" customWidth="1"/>
    <col min="34" max="34" width="31.5703125" style="1" hidden="1" customWidth="1"/>
    <col min="35" max="35" width="9.140625" style="1" hidden="1" customWidth="1"/>
    <col min="36" max="36" width="17.28515625" style="1" hidden="1" customWidth="1"/>
    <col min="37" max="37" width="9.140625" style="1" hidden="1" customWidth="1"/>
    <col min="38" max="38" width="15.28515625" style="1" hidden="1" customWidth="1"/>
    <col min="39" max="39" width="9.140625" style="1" hidden="1" customWidth="1"/>
    <col min="40" max="40" width="17.28515625" style="1" hidden="1" customWidth="1"/>
    <col min="41" max="41" width="9.140625" style="1" hidden="1" customWidth="1"/>
    <col min="42" max="42" width="13.85546875" style="1" hidden="1" customWidth="1"/>
    <col min="43" max="16384" width="9.140625" style="1"/>
  </cols>
  <sheetData>
    <row r="1" spans="1:42" x14ac:dyDescent="0.2">
      <c r="A1" s="206" t="str">
        <f>UPPER((Kalend!E25)&amp;" - "&amp;(Kalend!C25))&amp;" - "&amp;LOWER(Kalend!D25)&amp;" - "&amp;(Kalend!A25)&amp;" kell "&amp;(Kalend!B25)&amp;" - "&amp;(Kalend!F25)</f>
        <v>V7 - VOKA IV SISE-KV 7. ETAPP - trio - P, 27.03.2022 kell 11:00 - Voka petangihall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P1" s="232" t="s">
        <v>71</v>
      </c>
      <c r="Q1" s="233"/>
      <c r="R1" s="233"/>
      <c r="S1" s="233"/>
      <c r="T1" s="233"/>
      <c r="U1" s="40"/>
      <c r="V1" s="171"/>
      <c r="W1" s="157"/>
      <c r="X1" s="157"/>
      <c r="Y1" s="157"/>
      <c r="AD1" s="44" t="s">
        <v>71</v>
      </c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303"/>
      <c r="AP1" s="303"/>
    </row>
    <row r="2" spans="1:42" x14ac:dyDescent="0.2">
      <c r="A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157"/>
      <c r="Q2" s="157"/>
      <c r="R2" s="157"/>
      <c r="S2" s="157"/>
      <c r="T2" s="214"/>
      <c r="U2" s="214"/>
      <c r="V2" s="157"/>
      <c r="W2" s="157"/>
      <c r="X2" s="157"/>
      <c r="AD2" s="157"/>
      <c r="AE2" s="157"/>
      <c r="AF2" s="157"/>
      <c r="AG2" s="157"/>
      <c r="AH2" s="157"/>
      <c r="AI2" s="157"/>
      <c r="AJ2" s="217"/>
      <c r="AK2" s="157"/>
      <c r="AL2" s="157"/>
      <c r="AM2" s="157"/>
      <c r="AN2" s="157"/>
    </row>
    <row r="3" spans="1:42" x14ac:dyDescent="0.2">
      <c r="A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157"/>
      <c r="Q3" s="157"/>
      <c r="R3" s="157"/>
      <c r="S3" s="157"/>
      <c r="T3" s="214"/>
      <c r="U3" s="214"/>
      <c r="V3" s="157"/>
      <c r="W3" s="157"/>
      <c r="X3" s="157"/>
      <c r="Y3" s="157"/>
      <c r="AE3" s="157"/>
      <c r="AG3" s="157"/>
      <c r="AH3" s="157"/>
      <c r="AI3" s="157"/>
      <c r="AJ3" s="157"/>
      <c r="AK3" s="157"/>
      <c r="AL3" s="157"/>
      <c r="AM3" s="157"/>
      <c r="AN3" s="157"/>
    </row>
    <row r="4" spans="1:42" x14ac:dyDescent="0.2">
      <c r="A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157"/>
      <c r="Q4" s="157"/>
      <c r="R4" s="157"/>
      <c r="S4" s="157"/>
      <c r="T4" s="157"/>
      <c r="U4" s="157"/>
      <c r="V4" s="157"/>
      <c r="W4" s="157"/>
      <c r="X4" s="157"/>
      <c r="Y4" s="157"/>
      <c r="AE4" s="214"/>
      <c r="AF4" s="214"/>
      <c r="AG4" s="214"/>
      <c r="AH4" s="205"/>
      <c r="AI4" s="214"/>
      <c r="AJ4" s="214"/>
      <c r="AK4" s="214"/>
      <c r="AL4" s="214"/>
      <c r="AM4" s="214"/>
      <c r="AN4" s="214"/>
      <c r="AO4" s="214"/>
      <c r="AP4" s="214"/>
    </row>
    <row r="5" spans="1:42" x14ac:dyDescent="0.2"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363" t="s">
        <v>231</v>
      </c>
      <c r="O5" s="253"/>
      <c r="P5" s="157"/>
      <c r="Q5" s="157"/>
      <c r="R5" s="157"/>
      <c r="S5" s="157"/>
      <c r="T5" s="157"/>
      <c r="U5" s="157"/>
      <c r="V5" s="157"/>
      <c r="W5" s="157"/>
      <c r="X5" s="157"/>
      <c r="Y5" s="157"/>
      <c r="AA5" s="157"/>
      <c r="AD5" s="360" t="s">
        <v>176</v>
      </c>
    </row>
    <row r="6" spans="1:42" x14ac:dyDescent="0.2">
      <c r="A6" s="186"/>
      <c r="B6" s="220"/>
      <c r="C6" s="162">
        <v>1</v>
      </c>
      <c r="D6" s="162">
        <v>2</v>
      </c>
      <c r="E6" s="162">
        <v>3</v>
      </c>
      <c r="F6" s="162">
        <v>4</v>
      </c>
      <c r="G6" s="162">
        <v>5</v>
      </c>
      <c r="H6" s="162">
        <v>6</v>
      </c>
      <c r="I6" s="162" t="s">
        <v>130</v>
      </c>
      <c r="J6" s="161" t="s">
        <v>131</v>
      </c>
      <c r="K6" s="221" t="s">
        <v>199</v>
      </c>
      <c r="L6" s="222" t="s">
        <v>200</v>
      </c>
      <c r="M6" s="223" t="s">
        <v>201</v>
      </c>
      <c r="N6" s="223" t="s">
        <v>202</v>
      </c>
      <c r="O6" s="224" t="s">
        <v>132</v>
      </c>
      <c r="P6" s="224" t="s">
        <v>132</v>
      </c>
      <c r="Q6" s="225" t="s">
        <v>203</v>
      </c>
      <c r="R6" s="226" t="s">
        <v>21</v>
      </c>
      <c r="S6" s="226" t="b">
        <f>OR(AND(COUNTA(B7:B11)=3,COUNTA(C7:G11)=30),AND(COUNTA(B7:B11)=4,COUNTA(C7:G11)=12),AND(COUNTA(B7:B11)=5,COUNTA(C7:G11)=20))</f>
        <v>0</v>
      </c>
      <c r="T6" s="227" t="s">
        <v>204</v>
      </c>
      <c r="U6" s="228" t="s">
        <v>205</v>
      </c>
      <c r="V6" s="253"/>
      <c r="W6" s="253"/>
      <c r="X6" s="253"/>
      <c r="Y6" s="253"/>
      <c r="Z6" s="253"/>
      <c r="AA6" s="254"/>
      <c r="AD6" s="158" t="s">
        <v>224</v>
      </c>
      <c r="AE6" s="159"/>
      <c r="AF6" s="159" t="s">
        <v>191</v>
      </c>
      <c r="AG6" s="159"/>
      <c r="AH6" s="209" t="s">
        <v>192</v>
      </c>
      <c r="AI6" s="159"/>
      <c r="AJ6" s="159" t="s">
        <v>193</v>
      </c>
      <c r="AK6" s="160"/>
      <c r="AL6" s="159" t="s">
        <v>194</v>
      </c>
      <c r="AM6" s="160"/>
      <c r="AN6" s="160" t="s">
        <v>229</v>
      </c>
      <c r="AO6" s="359"/>
      <c r="AP6" s="160" t="s">
        <v>230</v>
      </c>
    </row>
    <row r="7" spans="1:42" x14ac:dyDescent="0.2">
      <c r="A7" s="188">
        <v>1</v>
      </c>
      <c r="B7" s="255" t="s">
        <v>340</v>
      </c>
      <c r="C7" s="191"/>
      <c r="D7" s="190"/>
      <c r="E7" s="190"/>
      <c r="F7" s="190"/>
      <c r="G7" s="190"/>
      <c r="H7" s="190"/>
      <c r="I7" s="747"/>
      <c r="J7" s="244">
        <v>1</v>
      </c>
      <c r="K7" s="256"/>
      <c r="L7" s="257"/>
      <c r="M7" s="748"/>
      <c r="N7" s="758" t="e">
        <f>SUM(AND(S7=S8,D7&gt;C8),AND(S7=S9,E7&gt;C9),AND(S7=S10,F7&gt;C10),AND(S7=S11,G7&gt;C11))</f>
        <v>#VALUE!</v>
      </c>
      <c r="O7" s="749" t="str">
        <f>SUM(C7:H7)&amp;"-"&amp;SUM(C7:C12)</f>
        <v>0-0</v>
      </c>
      <c r="P7" s="304">
        <f>D7+E7+F7+G7+H7-C8-C9-C10-C11-C12</f>
        <v>0</v>
      </c>
      <c r="Q7" s="260" t="e">
        <f>SUM(C7:H7)/SUM(C7:C12)</f>
        <v>#DIV/0!</v>
      </c>
      <c r="R7" s="192" t="e">
        <f>VALUE(LEFT(I7,1))</f>
        <v>#VALUE!</v>
      </c>
      <c r="S7" s="193" t="e">
        <f t="shared" ref="S7:S12" si="0">R7*100000+K7*10000+L7*1000+100*M7</f>
        <v>#VALUE!</v>
      </c>
      <c r="T7" s="261" t="e">
        <f t="shared" ref="T7:T12" si="1">S7+N7*0.1+IF(ISNONTEXT(B7),0,0.01)+0.0001*P7</f>
        <v>#VALUE!</v>
      </c>
      <c r="U7" s="262" t="e">
        <f t="shared" ref="U7:U12" si="2">R7&amp;K7</f>
        <v>#VALUE!</v>
      </c>
      <c r="V7" s="253"/>
      <c r="W7" s="253"/>
      <c r="X7" s="253"/>
      <c r="Y7" s="253"/>
      <c r="Z7" s="253"/>
      <c r="AA7" s="253"/>
      <c r="AD7" s="211">
        <f t="shared" ref="AD7:AD44" si="3">SUM(AE7:AP7)</f>
        <v>277</v>
      </c>
      <c r="AE7" s="212">
        <f>IFERROR(INDEX(V!$R:$R,MATCH(AF7,V!$L:$L,0)),"")</f>
        <v>132</v>
      </c>
      <c r="AF7" s="213" t="str">
        <f>IFERROR(LEFT($B7,(FIND(",",$B7,1)-1)),"")</f>
        <v>Olav Türk</v>
      </c>
      <c r="AG7" s="212" t="str">
        <f>IFERROR(INDEX(V!$R:$R,MATCH(AH7,V!$L:$L,0)),"")</f>
        <v/>
      </c>
      <c r="AH7" s="213" t="str">
        <f>IFERROR(MID($B7,FIND(", ",$B7)+2,256),"")</f>
        <v>Sirje Maala, Urmas Jõeäär</v>
      </c>
      <c r="AI7" s="212">
        <f>IFERROR(INDEX(V!$R:$R,MATCH(AJ7,V!$L:$L,0)),"")</f>
        <v>103</v>
      </c>
      <c r="AJ7" s="213" t="str">
        <f>IFERROR(MID($B7,FIND("^",SUBSTITUTE($B7,", ","^",1))+2,FIND("^",SUBSTITUTE($B7,", ","^",2))-FIND("^",SUBSTITUTE($B7,", ","^",1))-2),"")</f>
        <v>Sirje Maala</v>
      </c>
      <c r="AK7" s="212">
        <f>IFERROR(INDEX(V!$R:$R,MATCH(AL7,V!$L:$L,0)),"")</f>
        <v>42</v>
      </c>
      <c r="AL7" s="213" t="str">
        <f>IFERROR(MID($B7,FIND(", ",$B7,FIND(", ",$B7,FIND(", ",$B7))+1)+2,30000),"")</f>
        <v>Urmas Jõeäär</v>
      </c>
      <c r="AM7" s="212" t="str">
        <f>IFERROR(INDEX(V!$R:$R,MATCH(AN7,V!$L:$L,0)),"")</f>
        <v/>
      </c>
      <c r="AN7" s="213" t="str">
        <f>IFERROR(MID($B7,FIND(", ",$B7,FIND(", ",$B7)+1)+2,FIND(", ",$B7,FIND(", ",$B7,FIND(", ",$B7)+1)+1)-FIND(", ",$B7,FIND(", ",$B7)+1)-2),"")</f>
        <v/>
      </c>
      <c r="AO7" s="212" t="str">
        <f>IFERROR(INDEX(V!$R:$R,MATCH(AP7,V!$L:$L,0)),"")</f>
        <v/>
      </c>
      <c r="AP7" s="213" t="str">
        <f>IFERROR(MID($B7,FIND(", ",$B7,FIND(", ",$B7,FIND(", ",$B7)+1)+1)+2,30000),"")</f>
        <v/>
      </c>
    </row>
    <row r="8" spans="1:42" x14ac:dyDescent="0.2">
      <c r="A8" s="188">
        <v>2</v>
      </c>
      <c r="B8" s="308" t="s">
        <v>341</v>
      </c>
      <c r="C8" s="190"/>
      <c r="D8" s="191"/>
      <c r="E8" s="190"/>
      <c r="F8" s="190"/>
      <c r="G8" s="190"/>
      <c r="H8" s="190"/>
      <c r="I8" s="750"/>
      <c r="J8" s="244">
        <v>2</v>
      </c>
      <c r="K8" s="264"/>
      <c r="L8" s="259"/>
      <c r="M8" s="751"/>
      <c r="N8" s="758" t="e">
        <f>SUM(AND(S8=S7,C8&gt;D7),AND(S8=S9,E8&gt;D9),AND(S8=S10,F8&gt;D10),AND(S8=S11,G8&gt;D11))</f>
        <v>#VALUE!</v>
      </c>
      <c r="O8" s="749" t="str">
        <f>SUM(C8:H8)&amp;"-"&amp;SUM(D7:D12)</f>
        <v>0-0</v>
      </c>
      <c r="P8" s="304">
        <f>C8+E8+F8+G8+H8-D7-D9-D10-D11-D12</f>
        <v>0</v>
      </c>
      <c r="Q8" s="260" t="e">
        <f>SUM(C8:H8)/SUM(D7:D12)</f>
        <v>#DIV/0!</v>
      </c>
      <c r="R8" s="192" t="e">
        <f t="shared" ref="R8:R12" si="4">VALUE(LEFT(I8,1))</f>
        <v>#VALUE!</v>
      </c>
      <c r="S8" s="193" t="e">
        <f t="shared" si="0"/>
        <v>#VALUE!</v>
      </c>
      <c r="T8" s="261" t="e">
        <f t="shared" si="1"/>
        <v>#VALUE!</v>
      </c>
      <c r="U8" s="262" t="e">
        <f t="shared" si="2"/>
        <v>#VALUE!</v>
      </c>
      <c r="V8" s="253"/>
      <c r="W8" s="253"/>
      <c r="X8" s="253"/>
      <c r="Y8" s="253"/>
      <c r="Z8" s="253"/>
      <c r="AA8" s="260"/>
      <c r="AD8" s="211">
        <f t="shared" si="3"/>
        <v>317</v>
      </c>
      <c r="AE8" s="212">
        <f>IFERROR(INDEX(V!$R:$R,MATCH(AF8,V!$L:$L,0)),"")</f>
        <v>141</v>
      </c>
      <c r="AF8" s="213" t="str">
        <f t="shared" ref="AF8:AF44" si="5">IFERROR(LEFT($B8,(FIND(",",$B8,1)-1)),"")</f>
        <v>Enn Tokman</v>
      </c>
      <c r="AG8" s="212" t="str">
        <f>IFERROR(INDEX(V!$R:$R,MATCH(AH8,V!$L:$L,0)),"")</f>
        <v/>
      </c>
      <c r="AH8" s="213" t="str">
        <f t="shared" ref="AH8:AH44" si="6">IFERROR(MID($B8,FIND(", ",$B8)+2,256),"")</f>
        <v>Kenneth Muusikus, Peep Peenema</v>
      </c>
      <c r="AI8" s="212">
        <f>IFERROR(INDEX(V!$R:$R,MATCH(AJ8,V!$L:$L,0)),"")</f>
        <v>141</v>
      </c>
      <c r="AJ8" s="213" t="str">
        <f t="shared" ref="AJ8:AJ44" si="7">IFERROR(MID($B8,FIND("^",SUBSTITUTE($B8,", ","^",1))+2,FIND("^",SUBSTITUTE($B8,", ","^",2))-FIND("^",SUBSTITUTE($B8,", ","^",1))-2),"")</f>
        <v>Kenneth Muusikus</v>
      </c>
      <c r="AK8" s="212">
        <f>IFERROR(INDEX(V!$R:$R,MATCH(AL8,V!$L:$L,0)),"")</f>
        <v>35</v>
      </c>
      <c r="AL8" s="213" t="str">
        <f t="shared" ref="AL8:AL44" si="8">IFERROR(MID($B8,FIND(", ",$B8,FIND(", ",$B8,FIND(", ",$B8))+1)+2,30000),"")</f>
        <v>Peep Peenema</v>
      </c>
      <c r="AM8" s="212" t="str">
        <f>IFERROR(INDEX(V!$R:$R,MATCH(AN8,V!$L:$L,0)),"")</f>
        <v/>
      </c>
      <c r="AN8" s="213" t="str">
        <f t="shared" ref="AN8:AN44" si="9">IFERROR(MID($B8,FIND(", ",$B8,FIND(", ",$B8)+1)+2,FIND(", ",$B8,FIND(", ",$B8,FIND(", ",$B8)+1)+1)-FIND(", ",$B8,FIND(", ",$B8)+1)-2),"")</f>
        <v/>
      </c>
      <c r="AO8" s="212" t="str">
        <f>IFERROR(INDEX(V!$R:$R,MATCH(AP8,V!$L:$L,0)),"")</f>
        <v/>
      </c>
      <c r="AP8" s="213" t="str">
        <f t="shared" ref="AP8:AP44" si="10">IFERROR(MID($B8,FIND(", ",$B8,FIND(", ",$B8,FIND(", ",$B8)+1)+1)+2,30000),"")</f>
        <v/>
      </c>
    </row>
    <row r="9" spans="1:42" x14ac:dyDescent="0.2">
      <c r="A9" s="188">
        <v>3</v>
      </c>
      <c r="B9" s="308" t="s">
        <v>278</v>
      </c>
      <c r="C9" s="190"/>
      <c r="D9" s="267"/>
      <c r="E9" s="191"/>
      <c r="F9" s="244"/>
      <c r="G9" s="190"/>
      <c r="H9" s="190"/>
      <c r="I9" s="750"/>
      <c r="J9" s="244">
        <v>3</v>
      </c>
      <c r="K9" s="264"/>
      <c r="L9" s="259"/>
      <c r="M9" s="751"/>
      <c r="N9" s="758" t="e">
        <f>SUM(AND(S9=S7,C9&gt;E7),AND(S9=S8,D9&gt;E8),AND(S9=S10,F9&gt;E10),AND(S9=S11,G9&gt;E11))</f>
        <v>#VALUE!</v>
      </c>
      <c r="O9" s="749" t="str">
        <f>SUM(C9:H9)&amp;"-"&amp;SUM(E7:E12)</f>
        <v>0-0</v>
      </c>
      <c r="P9" s="304">
        <f>C9+D9+F9+G9+H9-E7-E8-E10-E11-E12</f>
        <v>0</v>
      </c>
      <c r="Q9" s="260" t="e">
        <f>SUM(C9:H9)/SUM(E7:E12)</f>
        <v>#DIV/0!</v>
      </c>
      <c r="R9" s="192" t="e">
        <f t="shared" si="4"/>
        <v>#VALUE!</v>
      </c>
      <c r="S9" s="193" t="e">
        <f t="shared" si="0"/>
        <v>#VALUE!</v>
      </c>
      <c r="T9" s="261" t="e">
        <f t="shared" si="1"/>
        <v>#VALUE!</v>
      </c>
      <c r="U9" s="262" t="e">
        <f t="shared" si="2"/>
        <v>#VALUE!</v>
      </c>
      <c r="V9" s="253"/>
      <c r="W9" s="253"/>
      <c r="X9" s="253"/>
      <c r="Y9" s="253"/>
      <c r="Z9" s="253"/>
      <c r="AA9" s="260"/>
      <c r="AD9" s="211">
        <f t="shared" si="3"/>
        <v>394</v>
      </c>
      <c r="AE9" s="212">
        <f>IFERROR(INDEX(V!$R:$R,MATCH(AF9,V!$L:$L,0)),"")</f>
        <v>98</v>
      </c>
      <c r="AF9" s="213" t="str">
        <f t="shared" si="5"/>
        <v>Annaliset Neiland</v>
      </c>
      <c r="AG9" s="212" t="str">
        <f>IFERROR(INDEX(V!$R:$R,MATCH(AH9,V!$L:$L,0)),"")</f>
        <v/>
      </c>
      <c r="AH9" s="213" t="str">
        <f t="shared" si="6"/>
        <v>Hillar Neiland, Kaspar Mänd</v>
      </c>
      <c r="AI9" s="212">
        <f>IFERROR(INDEX(V!$R:$R,MATCH(AJ9,V!$L:$L,0)),"")</f>
        <v>143</v>
      </c>
      <c r="AJ9" s="213" t="str">
        <f t="shared" si="7"/>
        <v>Hillar Neiland</v>
      </c>
      <c r="AK9" s="212">
        <f>IFERROR(INDEX(V!$R:$R,MATCH(AL9,V!$L:$L,0)),"")</f>
        <v>153</v>
      </c>
      <c r="AL9" s="213" t="str">
        <f t="shared" si="8"/>
        <v>Kaspar Mänd</v>
      </c>
      <c r="AM9" s="212" t="str">
        <f>IFERROR(INDEX(V!$R:$R,MATCH(AN9,V!$L:$L,0)),"")</f>
        <v/>
      </c>
      <c r="AN9" s="213" t="str">
        <f t="shared" si="9"/>
        <v/>
      </c>
      <c r="AO9" s="212" t="str">
        <f>IFERROR(INDEX(V!$R:$R,MATCH(AP9,V!$L:$L,0)),"")</f>
        <v/>
      </c>
      <c r="AP9" s="213" t="str">
        <f t="shared" si="10"/>
        <v/>
      </c>
    </row>
    <row r="10" spans="1:42" x14ac:dyDescent="0.2">
      <c r="A10" s="188">
        <v>4</v>
      </c>
      <c r="B10" s="268" t="s">
        <v>342</v>
      </c>
      <c r="C10" s="190"/>
      <c r="D10" s="267"/>
      <c r="E10" s="190"/>
      <c r="F10" s="191"/>
      <c r="G10" s="244"/>
      <c r="H10" s="244"/>
      <c r="I10" s="750"/>
      <c r="J10" s="244">
        <v>4</v>
      </c>
      <c r="K10" s="264"/>
      <c r="L10" s="259"/>
      <c r="M10" s="751"/>
      <c r="N10" s="758" t="e">
        <f>SUM(AND(S10=S7,C10&gt;F7),AND(S10=S8,D10&gt;F8),AND(S10=S9,E10&gt;F9),AND(S10=S11,G10&gt;F11))</f>
        <v>#VALUE!</v>
      </c>
      <c r="O10" s="749" t="str">
        <f>SUM(C10:H10)&amp;"-"&amp;SUM(F7:F12)</f>
        <v>0-0</v>
      </c>
      <c r="P10" s="304">
        <f>C10+D10+E10+G10+H10-F7-F8-F9-F11-F12</f>
        <v>0</v>
      </c>
      <c r="Q10" s="260" t="e">
        <f>SUM(C10:H10)/SUM(F7:F12)</f>
        <v>#DIV/0!</v>
      </c>
      <c r="R10" s="192" t="e">
        <f t="shared" si="4"/>
        <v>#VALUE!</v>
      </c>
      <c r="S10" s="193" t="e">
        <f t="shared" si="0"/>
        <v>#VALUE!</v>
      </c>
      <c r="T10" s="261" t="e">
        <f t="shared" si="1"/>
        <v>#VALUE!</v>
      </c>
      <c r="U10" s="262" t="e">
        <f t="shared" si="2"/>
        <v>#VALUE!</v>
      </c>
      <c r="V10" s="253"/>
      <c r="W10" s="253"/>
      <c r="X10" s="253"/>
      <c r="Y10" s="253"/>
      <c r="Z10" s="253"/>
      <c r="AA10" s="260"/>
      <c r="AD10" s="211">
        <f t="shared" si="3"/>
        <v>212</v>
      </c>
      <c r="AE10" s="212">
        <f>IFERROR(INDEX(V!$R:$R,MATCH(AF10,V!$L:$L,0)),"")</f>
        <v>143</v>
      </c>
      <c r="AF10" s="213" t="str">
        <f t="shared" si="5"/>
        <v>Jaan Saar</v>
      </c>
      <c r="AG10" s="212" t="str">
        <f>IFERROR(INDEX(V!$R:$R,MATCH(AH10,V!$L:$L,0)),"")</f>
        <v/>
      </c>
      <c r="AH10" s="213" t="str">
        <f t="shared" si="6"/>
        <v>Marta Bernat, Viktor Švarõgin</v>
      </c>
      <c r="AI10" s="212">
        <f>IFERROR(INDEX(V!$R:$R,MATCH(AJ10,V!$L:$L,0)),"")</f>
        <v>29</v>
      </c>
      <c r="AJ10" s="213" t="str">
        <f t="shared" si="7"/>
        <v>Marta Bernat</v>
      </c>
      <c r="AK10" s="212">
        <f>IFERROR(INDEX(V!$R:$R,MATCH(AL10,V!$L:$L,0)),"")</f>
        <v>40</v>
      </c>
      <c r="AL10" s="213" t="str">
        <f t="shared" si="8"/>
        <v>Viktor Švarõgin</v>
      </c>
      <c r="AM10" s="212" t="str">
        <f>IFERROR(INDEX(V!$R:$R,MATCH(AN10,V!$L:$L,0)),"")</f>
        <v/>
      </c>
      <c r="AN10" s="213" t="str">
        <f t="shared" si="9"/>
        <v/>
      </c>
      <c r="AO10" s="212" t="str">
        <f>IFERROR(INDEX(V!$R:$R,MATCH(AP10,V!$L:$L,0)),"")</f>
        <v/>
      </c>
      <c r="AP10" s="213" t="str">
        <f t="shared" si="10"/>
        <v/>
      </c>
    </row>
    <row r="11" spans="1:42" x14ac:dyDescent="0.2">
      <c r="A11" s="188">
        <v>5</v>
      </c>
      <c r="B11" s="308" t="s">
        <v>343</v>
      </c>
      <c r="C11" s="190"/>
      <c r="D11" s="190"/>
      <c r="E11" s="190"/>
      <c r="F11" s="190"/>
      <c r="G11" s="191"/>
      <c r="H11" s="190"/>
      <c r="I11" s="750"/>
      <c r="J11" s="244">
        <v>5</v>
      </c>
      <c r="K11" s="264"/>
      <c r="L11" s="259"/>
      <c r="M11" s="751"/>
      <c r="N11" s="758" t="e">
        <f>SUM(AND(S11=S7,C11&gt;G7),AND(S11=S8,D11&gt;G8),AND(S11=S9,E11&gt;G9),AND(S11=S10,F11&gt;G10))</f>
        <v>#VALUE!</v>
      </c>
      <c r="O11" s="749" t="str">
        <f>SUM(C11:H11)&amp;"-"&amp;SUM(G7:G12)</f>
        <v>0-0</v>
      </c>
      <c r="P11" s="304">
        <f>C11+D11+E11+F11+H11-G7-G8-G9-G10-G12</f>
        <v>0</v>
      </c>
      <c r="Q11" s="260" t="e">
        <f>SUM(C11:H11)/SUM(G7:G12)</f>
        <v>#DIV/0!</v>
      </c>
      <c r="R11" s="192" t="e">
        <f t="shared" si="4"/>
        <v>#VALUE!</v>
      </c>
      <c r="S11" s="193" t="e">
        <f t="shared" si="0"/>
        <v>#VALUE!</v>
      </c>
      <c r="T11" s="261" t="e">
        <f t="shared" si="1"/>
        <v>#VALUE!</v>
      </c>
      <c r="U11" s="262" t="e">
        <f t="shared" si="2"/>
        <v>#VALUE!</v>
      </c>
      <c r="V11" s="253"/>
      <c r="W11" s="253"/>
      <c r="X11" s="253"/>
      <c r="Y11" s="253"/>
      <c r="Z11" s="253"/>
      <c r="AA11" s="260"/>
      <c r="AD11" s="211">
        <f t="shared" si="3"/>
        <v>184</v>
      </c>
      <c r="AE11" s="212">
        <f>IFERROR(INDEX(V!$R:$R,MATCH(AF11,V!$L:$L,0)),"")</f>
        <v>52</v>
      </c>
      <c r="AF11" s="213" t="str">
        <f t="shared" si="5"/>
        <v>Andrei Grintšak</v>
      </c>
      <c r="AG11" s="212" t="str">
        <f>IFERROR(INDEX(V!$R:$R,MATCH(AH11,V!$L:$L,0)),"")</f>
        <v/>
      </c>
      <c r="AH11" s="213" t="str">
        <f t="shared" si="6"/>
        <v>Janek Tarto, Sander Rose</v>
      </c>
      <c r="AI11" s="212">
        <f>IFERROR(INDEX(V!$R:$R,MATCH(AJ11,V!$L:$L,0)),"")</f>
        <v>22</v>
      </c>
      <c r="AJ11" s="213" t="str">
        <f t="shared" si="7"/>
        <v>Janek Tarto</v>
      </c>
      <c r="AK11" s="212">
        <f>IFERROR(INDEX(V!$R:$R,MATCH(AL11,V!$L:$L,0)),"")</f>
        <v>110</v>
      </c>
      <c r="AL11" s="213" t="str">
        <f t="shared" si="8"/>
        <v>Sander Rose</v>
      </c>
      <c r="AM11" s="212" t="str">
        <f>IFERROR(INDEX(V!$R:$R,MATCH(AN11,V!$L:$L,0)),"")</f>
        <v/>
      </c>
      <c r="AN11" s="213" t="str">
        <f t="shared" si="9"/>
        <v/>
      </c>
      <c r="AO11" s="212" t="str">
        <f>IFERROR(INDEX(V!$R:$R,MATCH(AP11,V!$L:$L,0)),"")</f>
        <v/>
      </c>
      <c r="AP11" s="213" t="str">
        <f t="shared" si="10"/>
        <v/>
      </c>
    </row>
    <row r="12" spans="1:42" x14ac:dyDescent="0.2">
      <c r="A12" s="188">
        <v>6</v>
      </c>
      <c r="B12" s="263" t="s">
        <v>344</v>
      </c>
      <c r="C12" s="190"/>
      <c r="D12" s="267"/>
      <c r="E12" s="244"/>
      <c r="F12" s="190"/>
      <c r="G12" s="190"/>
      <c r="H12" s="191"/>
      <c r="I12" s="750"/>
      <c r="J12" s="244">
        <v>6</v>
      </c>
      <c r="K12" s="752"/>
      <c r="L12" s="28"/>
      <c r="M12" s="753"/>
      <c r="N12" s="759"/>
      <c r="O12" s="749" t="str">
        <f>SUM(C12:H12)&amp;"-"&amp;SUM(H7:H12)</f>
        <v>0-0</v>
      </c>
      <c r="P12" s="754">
        <f>C12+D12+E12+F12+G12-H7-H8-H9-H10-H11</f>
        <v>0</v>
      </c>
      <c r="Q12" s="260" t="e">
        <f>SUM(C12:H12)/SUM(H7:H12)</f>
        <v>#DIV/0!</v>
      </c>
      <c r="R12" s="192" t="e">
        <f t="shared" si="4"/>
        <v>#VALUE!</v>
      </c>
      <c r="S12" s="193" t="e">
        <f t="shared" si="0"/>
        <v>#VALUE!</v>
      </c>
      <c r="T12" s="261" t="e">
        <f t="shared" si="1"/>
        <v>#VALUE!</v>
      </c>
      <c r="U12" s="262" t="e">
        <f t="shared" si="2"/>
        <v>#VALUE!</v>
      </c>
      <c r="V12" s="253"/>
      <c r="W12" s="253"/>
      <c r="X12" s="253"/>
      <c r="Y12" s="253"/>
      <c r="Z12" s="253"/>
      <c r="AA12" s="260"/>
      <c r="AD12" s="211">
        <f t="shared" si="3"/>
        <v>186</v>
      </c>
      <c r="AE12" s="212">
        <f>IFERROR(INDEX(V!$R:$R,MATCH(AF12,V!$L:$L,0)),"")</f>
        <v>25</v>
      </c>
      <c r="AF12" s="213" t="str">
        <f t="shared" si="5"/>
        <v>Illar Tõnurist</v>
      </c>
      <c r="AG12" s="212" t="str">
        <f>IFERROR(INDEX(V!$R:$R,MATCH(AH12,V!$L:$L,0)),"")</f>
        <v/>
      </c>
      <c r="AH12" s="213" t="str">
        <f t="shared" si="6"/>
        <v>Johannes Neiland, Urmas Randlaine</v>
      </c>
      <c r="AI12" s="212">
        <f>IFERROR(INDEX(V!$R:$R,MATCH(AJ12,V!$L:$L,0)),"")</f>
        <v>27</v>
      </c>
      <c r="AJ12" s="213" t="str">
        <f t="shared" si="7"/>
        <v>Johannes Neiland</v>
      </c>
      <c r="AK12" s="212">
        <f>IFERROR(INDEX(V!$R:$R,MATCH(AL12,V!$L:$L,0)),"")</f>
        <v>134</v>
      </c>
      <c r="AL12" s="213" t="str">
        <f t="shared" si="8"/>
        <v>Urmas Randlaine</v>
      </c>
      <c r="AM12" s="212" t="str">
        <f>IFERROR(INDEX(V!$R:$R,MATCH(AN12,V!$L:$L,0)),"")</f>
        <v/>
      </c>
      <c r="AN12" s="213" t="str">
        <f t="shared" si="9"/>
        <v/>
      </c>
      <c r="AO12" s="212" t="str">
        <f>IFERROR(INDEX(V!$R:$R,MATCH(AP12,V!$L:$L,0)),"")</f>
        <v/>
      </c>
      <c r="AP12" s="213" t="str">
        <f t="shared" si="10"/>
        <v/>
      </c>
    </row>
    <row r="13" spans="1:42" hidden="1" x14ac:dyDescent="0.2">
      <c r="T13" s="253"/>
      <c r="U13" s="253"/>
      <c r="V13" s="253"/>
      <c r="W13" s="253"/>
      <c r="X13" s="253"/>
      <c r="Y13" s="253"/>
      <c r="Z13" s="253"/>
      <c r="AA13" s="260"/>
      <c r="AD13" s="211">
        <f t="shared" si="3"/>
        <v>0</v>
      </c>
      <c r="AE13" s="212" t="str">
        <f>IFERROR(INDEX(V!$R:$R,MATCH(AF13,V!$L:$L,0)),"")</f>
        <v/>
      </c>
      <c r="AF13" s="213" t="str">
        <f t="shared" si="5"/>
        <v/>
      </c>
      <c r="AG13" s="212" t="str">
        <f>IFERROR(INDEX(V!$R:$R,MATCH(AH13,V!$L:$L,0)),"")</f>
        <v/>
      </c>
      <c r="AH13" s="213" t="str">
        <f t="shared" si="6"/>
        <v/>
      </c>
      <c r="AI13" s="212" t="str">
        <f>IFERROR(INDEX(V!$R:$R,MATCH(AJ13,V!$L:$L,0)),"")</f>
        <v/>
      </c>
      <c r="AJ13" s="213" t="str">
        <f t="shared" si="7"/>
        <v/>
      </c>
      <c r="AK13" s="212" t="str">
        <f>IFERROR(INDEX(V!$R:$R,MATCH(AL13,V!$L:$L,0)),"")</f>
        <v/>
      </c>
      <c r="AL13" s="213" t="str">
        <f t="shared" si="8"/>
        <v/>
      </c>
      <c r="AM13" s="212" t="str">
        <f>IFERROR(INDEX(V!$R:$R,MATCH(AN13,V!$L:$L,0)),"")</f>
        <v/>
      </c>
      <c r="AN13" s="213" t="str">
        <f t="shared" si="9"/>
        <v/>
      </c>
      <c r="AO13" s="212" t="str">
        <f>IFERROR(INDEX(V!$R:$R,MATCH(AP13,V!$L:$L,0)),"")</f>
        <v/>
      </c>
      <c r="AP13" s="213" t="str">
        <f t="shared" si="10"/>
        <v/>
      </c>
    </row>
    <row r="14" spans="1:42" hidden="1" x14ac:dyDescent="0.2">
      <c r="B14" s="755" t="s">
        <v>133</v>
      </c>
      <c r="T14" s="253"/>
      <c r="U14" s="253"/>
      <c r="V14" s="253"/>
      <c r="W14" s="253"/>
      <c r="X14" s="253"/>
      <c r="Y14" s="253"/>
      <c r="Z14" s="253"/>
      <c r="AA14" s="260"/>
      <c r="AD14" s="211">
        <f t="shared" si="3"/>
        <v>0</v>
      </c>
      <c r="AE14" s="212" t="str">
        <f>IFERROR(INDEX(V!$R:$R,MATCH(AF14,V!$L:$L,0)),"")</f>
        <v/>
      </c>
      <c r="AF14" s="213" t="str">
        <f t="shared" si="5"/>
        <v/>
      </c>
      <c r="AG14" s="212" t="str">
        <f>IFERROR(INDEX(V!$R:$R,MATCH(AH14,V!$L:$L,0)),"")</f>
        <v/>
      </c>
      <c r="AH14" s="213" t="str">
        <f t="shared" si="6"/>
        <v/>
      </c>
      <c r="AI14" s="212" t="str">
        <f>IFERROR(INDEX(V!$R:$R,MATCH(AJ14,V!$L:$L,0)),"")</f>
        <v/>
      </c>
      <c r="AJ14" s="213" t="str">
        <f t="shared" si="7"/>
        <v/>
      </c>
      <c r="AK14" s="212" t="str">
        <f>IFERROR(INDEX(V!$R:$R,MATCH(AL14,V!$L:$L,0)),"")</f>
        <v/>
      </c>
      <c r="AL14" s="213" t="str">
        <f t="shared" si="8"/>
        <v/>
      </c>
      <c r="AM14" s="212" t="str">
        <f>IFERROR(INDEX(V!$R:$R,MATCH(AN14,V!$L:$L,0)),"")</f>
        <v/>
      </c>
      <c r="AN14" s="213" t="str">
        <f t="shared" si="9"/>
        <v/>
      </c>
      <c r="AO14" s="212" t="str">
        <f>IFERROR(INDEX(V!$R:$R,MATCH(AP14,V!$L:$L,0)),"")</f>
        <v/>
      </c>
      <c r="AP14" s="213" t="str">
        <f t="shared" si="10"/>
        <v/>
      </c>
    </row>
    <row r="15" spans="1:42" hidden="1" x14ac:dyDescent="0.2">
      <c r="B15" s="755" t="s">
        <v>136</v>
      </c>
      <c r="T15" s="253"/>
      <c r="U15" s="253"/>
      <c r="V15" s="253"/>
      <c r="W15" s="253"/>
      <c r="X15" s="253"/>
      <c r="Y15" s="253"/>
      <c r="Z15" s="253"/>
      <c r="AA15" s="260"/>
      <c r="AD15" s="211">
        <f t="shared" si="3"/>
        <v>0</v>
      </c>
      <c r="AE15" s="212" t="str">
        <f>IFERROR(INDEX(V!$R:$R,MATCH(AF15,V!$L:$L,0)),"")</f>
        <v/>
      </c>
      <c r="AF15" s="213" t="str">
        <f t="shared" si="5"/>
        <v/>
      </c>
      <c r="AG15" s="212" t="str">
        <f>IFERROR(INDEX(V!$R:$R,MATCH(AH15,V!$L:$L,0)),"")</f>
        <v/>
      </c>
      <c r="AH15" s="213" t="str">
        <f t="shared" si="6"/>
        <v/>
      </c>
      <c r="AI15" s="212" t="str">
        <f>IFERROR(INDEX(V!$R:$R,MATCH(AJ15,V!$L:$L,0)),"")</f>
        <v/>
      </c>
      <c r="AJ15" s="213" t="str">
        <f t="shared" si="7"/>
        <v/>
      </c>
      <c r="AK15" s="212" t="str">
        <f>IFERROR(INDEX(V!$R:$R,MATCH(AL15,V!$L:$L,0)),"")</f>
        <v/>
      </c>
      <c r="AL15" s="213" t="str">
        <f t="shared" si="8"/>
        <v/>
      </c>
      <c r="AM15" s="212" t="str">
        <f>IFERROR(INDEX(V!$R:$R,MATCH(AN15,V!$L:$L,0)),"")</f>
        <v/>
      </c>
      <c r="AN15" s="213" t="str">
        <f t="shared" si="9"/>
        <v/>
      </c>
      <c r="AO15" s="212" t="str">
        <f>IFERROR(INDEX(V!$R:$R,MATCH(AP15,V!$L:$L,0)),"")</f>
        <v/>
      </c>
      <c r="AP15" s="213" t="str">
        <f t="shared" si="10"/>
        <v/>
      </c>
    </row>
    <row r="16" spans="1:42" hidden="1" x14ac:dyDescent="0.2">
      <c r="B16" s="755" t="s">
        <v>139</v>
      </c>
      <c r="T16" s="253"/>
      <c r="U16" s="253"/>
      <c r="V16" s="253"/>
      <c r="W16" s="253"/>
      <c r="X16" s="253"/>
      <c r="Y16" s="253"/>
      <c r="Z16" s="253"/>
      <c r="AA16" s="260"/>
      <c r="AD16" s="211">
        <f t="shared" si="3"/>
        <v>0</v>
      </c>
      <c r="AE16" s="212" t="str">
        <f>IFERROR(INDEX(V!$R:$R,MATCH(AF16,V!$L:$L,0)),"")</f>
        <v/>
      </c>
      <c r="AF16" s="213" t="str">
        <f t="shared" si="5"/>
        <v/>
      </c>
      <c r="AG16" s="212" t="str">
        <f>IFERROR(INDEX(V!$R:$R,MATCH(AH16,V!$L:$L,0)),"")</f>
        <v/>
      </c>
      <c r="AH16" s="213" t="str">
        <f t="shared" si="6"/>
        <v/>
      </c>
      <c r="AI16" s="212" t="str">
        <f>IFERROR(INDEX(V!$R:$R,MATCH(AJ16,V!$L:$L,0)),"")</f>
        <v/>
      </c>
      <c r="AJ16" s="213" t="str">
        <f t="shared" si="7"/>
        <v/>
      </c>
      <c r="AK16" s="212" t="str">
        <f>IFERROR(INDEX(V!$R:$R,MATCH(AL16,V!$L:$L,0)),"")</f>
        <v/>
      </c>
      <c r="AL16" s="213" t="str">
        <f t="shared" si="8"/>
        <v/>
      </c>
      <c r="AM16" s="212" t="str">
        <f>IFERROR(INDEX(V!$R:$R,MATCH(AN16,V!$L:$L,0)),"")</f>
        <v/>
      </c>
      <c r="AN16" s="213" t="str">
        <f t="shared" si="9"/>
        <v/>
      </c>
      <c r="AO16" s="212" t="str">
        <f>IFERROR(INDEX(V!$R:$R,MATCH(AP16,V!$L:$L,0)),"")</f>
        <v/>
      </c>
      <c r="AP16" s="213" t="str">
        <f t="shared" si="10"/>
        <v/>
      </c>
    </row>
    <row r="17" spans="2:42" hidden="1" x14ac:dyDescent="0.2">
      <c r="B17" s="755" t="s">
        <v>142</v>
      </c>
      <c r="T17" s="253"/>
      <c r="U17" s="253"/>
      <c r="V17" s="253"/>
      <c r="W17" s="253"/>
      <c r="X17" s="253"/>
      <c r="Y17" s="253"/>
      <c r="Z17" s="253"/>
      <c r="AA17" s="260"/>
      <c r="AD17" s="211">
        <f t="shared" si="3"/>
        <v>0</v>
      </c>
      <c r="AE17" s="212" t="str">
        <f>IFERROR(INDEX(V!$R:$R,MATCH(AF17,V!$L:$L,0)),"")</f>
        <v/>
      </c>
      <c r="AF17" s="213" t="str">
        <f t="shared" si="5"/>
        <v/>
      </c>
      <c r="AG17" s="212" t="str">
        <f>IFERROR(INDEX(V!$R:$R,MATCH(AH17,V!$L:$L,0)),"")</f>
        <v/>
      </c>
      <c r="AH17" s="213" t="str">
        <f t="shared" si="6"/>
        <v/>
      </c>
      <c r="AI17" s="212" t="str">
        <f>IFERROR(INDEX(V!$R:$R,MATCH(AJ17,V!$L:$L,0)),"")</f>
        <v/>
      </c>
      <c r="AJ17" s="213" t="str">
        <f t="shared" si="7"/>
        <v/>
      </c>
      <c r="AK17" s="212" t="str">
        <f>IFERROR(INDEX(V!$R:$R,MATCH(AL17,V!$L:$L,0)),"")</f>
        <v/>
      </c>
      <c r="AL17" s="213" t="str">
        <f t="shared" si="8"/>
        <v/>
      </c>
      <c r="AM17" s="212" t="str">
        <f>IFERROR(INDEX(V!$R:$R,MATCH(AN17,V!$L:$L,0)),"")</f>
        <v/>
      </c>
      <c r="AN17" s="213" t="str">
        <f t="shared" si="9"/>
        <v/>
      </c>
      <c r="AO17" s="212" t="str">
        <f>IFERROR(INDEX(V!$R:$R,MATCH(AP17,V!$L:$L,0)),"")</f>
        <v/>
      </c>
      <c r="AP17" s="213" t="str">
        <f t="shared" si="10"/>
        <v/>
      </c>
    </row>
    <row r="18" spans="2:42" hidden="1" x14ac:dyDescent="0.2">
      <c r="B18" s="755" t="s">
        <v>144</v>
      </c>
      <c r="T18" s="253"/>
      <c r="U18" s="253"/>
      <c r="V18" s="253"/>
      <c r="W18" s="253"/>
      <c r="X18" s="253"/>
      <c r="Y18" s="253"/>
      <c r="Z18" s="253"/>
      <c r="AA18" s="260"/>
      <c r="AD18" s="211">
        <f t="shared" si="3"/>
        <v>0</v>
      </c>
      <c r="AE18" s="212" t="str">
        <f>IFERROR(INDEX(V!$R:$R,MATCH(AF18,V!$L:$L,0)),"")</f>
        <v/>
      </c>
      <c r="AF18" s="213" t="str">
        <f t="shared" si="5"/>
        <v/>
      </c>
      <c r="AG18" s="212" t="str">
        <f>IFERROR(INDEX(V!$R:$R,MATCH(AH18,V!$L:$L,0)),"")</f>
        <v/>
      </c>
      <c r="AH18" s="213" t="str">
        <f t="shared" si="6"/>
        <v/>
      </c>
      <c r="AI18" s="212" t="str">
        <f>IFERROR(INDEX(V!$R:$R,MATCH(AJ18,V!$L:$L,0)),"")</f>
        <v/>
      </c>
      <c r="AJ18" s="213" t="str">
        <f t="shared" si="7"/>
        <v/>
      </c>
      <c r="AK18" s="212" t="str">
        <f>IFERROR(INDEX(V!$R:$R,MATCH(AL18,V!$L:$L,0)),"")</f>
        <v/>
      </c>
      <c r="AL18" s="213" t="str">
        <f t="shared" si="8"/>
        <v/>
      </c>
      <c r="AM18" s="212" t="str">
        <f>IFERROR(INDEX(V!$R:$R,MATCH(AN18,V!$L:$L,0)),"")</f>
        <v/>
      </c>
      <c r="AN18" s="213" t="str">
        <f t="shared" si="9"/>
        <v/>
      </c>
      <c r="AO18" s="212" t="str">
        <f>IFERROR(INDEX(V!$R:$R,MATCH(AP18,V!$L:$L,0)),"")</f>
        <v/>
      </c>
      <c r="AP18" s="213" t="str">
        <f t="shared" si="10"/>
        <v/>
      </c>
    </row>
    <row r="19" spans="2:42" hidden="1" x14ac:dyDescent="0.2">
      <c r="B19" s="755"/>
      <c r="T19" s="253"/>
      <c r="U19" s="253"/>
      <c r="V19" s="253"/>
      <c r="W19" s="253"/>
      <c r="X19" s="253"/>
      <c r="Y19" s="253"/>
      <c r="Z19" s="253"/>
      <c r="AA19" s="260"/>
      <c r="AD19" s="211">
        <f t="shared" si="3"/>
        <v>0</v>
      </c>
      <c r="AE19" s="212" t="str">
        <f>IFERROR(INDEX(V!$R:$R,MATCH(AF19,V!$L:$L,0)),"")</f>
        <v/>
      </c>
      <c r="AF19" s="213" t="str">
        <f t="shared" si="5"/>
        <v/>
      </c>
      <c r="AG19" s="212" t="str">
        <f>IFERROR(INDEX(V!$R:$R,MATCH(AH19,V!$L:$L,0)),"")</f>
        <v/>
      </c>
      <c r="AH19" s="213" t="str">
        <f t="shared" si="6"/>
        <v/>
      </c>
      <c r="AI19" s="212" t="str">
        <f>IFERROR(INDEX(V!$R:$R,MATCH(AJ19,V!$L:$L,0)),"")</f>
        <v/>
      </c>
      <c r="AJ19" s="213" t="str">
        <f t="shared" si="7"/>
        <v/>
      </c>
      <c r="AK19" s="212" t="str">
        <f>IFERROR(INDEX(V!$R:$R,MATCH(AL19,V!$L:$L,0)),"")</f>
        <v/>
      </c>
      <c r="AL19" s="213" t="str">
        <f t="shared" si="8"/>
        <v/>
      </c>
      <c r="AM19" s="212" t="str">
        <f>IFERROR(INDEX(V!$R:$R,MATCH(AN19,V!$L:$L,0)),"")</f>
        <v/>
      </c>
      <c r="AN19" s="213" t="str">
        <f t="shared" si="9"/>
        <v/>
      </c>
      <c r="AO19" s="212" t="str">
        <f>IFERROR(INDEX(V!$R:$R,MATCH(AP19,V!$L:$L,0)),"")</f>
        <v/>
      </c>
      <c r="AP19" s="213" t="str">
        <f t="shared" si="10"/>
        <v/>
      </c>
    </row>
    <row r="20" spans="2:42" hidden="1" x14ac:dyDescent="0.2">
      <c r="B20" s="755"/>
      <c r="T20" s="253"/>
      <c r="U20" s="253"/>
      <c r="V20" s="253"/>
      <c r="W20" s="253"/>
      <c r="X20" s="253"/>
      <c r="Y20" s="253"/>
      <c r="Z20" s="253"/>
      <c r="AA20" s="253"/>
      <c r="AD20" s="211">
        <f t="shared" si="3"/>
        <v>0</v>
      </c>
      <c r="AE20" s="212" t="str">
        <f>IFERROR(INDEX(V!$R:$R,MATCH(AF20,V!$L:$L,0)),"")</f>
        <v/>
      </c>
      <c r="AF20" s="213" t="str">
        <f t="shared" si="5"/>
        <v/>
      </c>
      <c r="AG20" s="212" t="str">
        <f>IFERROR(INDEX(V!$R:$R,MATCH(AH20,V!$L:$L,0)),"")</f>
        <v/>
      </c>
      <c r="AH20" s="213" t="str">
        <f t="shared" si="6"/>
        <v/>
      </c>
      <c r="AI20" s="212" t="str">
        <f>IFERROR(INDEX(V!$R:$R,MATCH(AJ20,V!$L:$L,0)),"")</f>
        <v/>
      </c>
      <c r="AJ20" s="213" t="str">
        <f t="shared" si="7"/>
        <v/>
      </c>
      <c r="AK20" s="212" t="str">
        <f>IFERROR(INDEX(V!$R:$R,MATCH(AL20,V!$L:$L,0)),"")</f>
        <v/>
      </c>
      <c r="AL20" s="213" t="str">
        <f t="shared" si="8"/>
        <v/>
      </c>
      <c r="AM20" s="212" t="str">
        <f>IFERROR(INDEX(V!$R:$R,MATCH(AN20,V!$L:$L,0)),"")</f>
        <v/>
      </c>
      <c r="AN20" s="213" t="str">
        <f t="shared" si="9"/>
        <v/>
      </c>
      <c r="AO20" s="212" t="str">
        <f>IFERROR(INDEX(V!$R:$R,MATCH(AP20,V!$L:$L,0)),"")</f>
        <v/>
      </c>
      <c r="AP20" s="213" t="str">
        <f t="shared" si="10"/>
        <v/>
      </c>
    </row>
    <row r="21" spans="2:42" hidden="1" x14ac:dyDescent="0.2">
      <c r="B21" s="755"/>
      <c r="T21" s="253"/>
      <c r="U21" s="253"/>
      <c r="V21" s="253"/>
      <c r="W21" s="253"/>
      <c r="X21" s="253"/>
      <c r="Y21" s="253"/>
      <c r="Z21" s="253"/>
      <c r="AA21" s="253"/>
      <c r="AD21" s="211">
        <f t="shared" si="3"/>
        <v>0</v>
      </c>
      <c r="AE21" s="212" t="str">
        <f>IFERROR(INDEX(V!$R:$R,MATCH(AF21,V!$L:$L,0)),"")</f>
        <v/>
      </c>
      <c r="AF21" s="213" t="str">
        <f t="shared" si="5"/>
        <v/>
      </c>
      <c r="AG21" s="212" t="str">
        <f>IFERROR(INDEX(V!$R:$R,MATCH(AH21,V!$L:$L,0)),"")</f>
        <v/>
      </c>
      <c r="AH21" s="213" t="str">
        <f t="shared" si="6"/>
        <v/>
      </c>
      <c r="AI21" s="212" t="str">
        <f>IFERROR(INDEX(V!$R:$R,MATCH(AJ21,V!$L:$L,0)),"")</f>
        <v/>
      </c>
      <c r="AJ21" s="213" t="str">
        <f t="shared" si="7"/>
        <v/>
      </c>
      <c r="AK21" s="212" t="str">
        <f>IFERROR(INDEX(V!$R:$R,MATCH(AL21,V!$L:$L,0)),"")</f>
        <v/>
      </c>
      <c r="AL21" s="213" t="str">
        <f t="shared" si="8"/>
        <v/>
      </c>
      <c r="AM21" s="212" t="str">
        <f>IFERROR(INDEX(V!$R:$R,MATCH(AN21,V!$L:$L,0)),"")</f>
        <v/>
      </c>
      <c r="AN21" s="213" t="str">
        <f t="shared" si="9"/>
        <v/>
      </c>
      <c r="AO21" s="212" t="str">
        <f>IFERROR(INDEX(V!$R:$R,MATCH(AP21,V!$L:$L,0)),"")</f>
        <v/>
      </c>
      <c r="AP21" s="213" t="str">
        <f t="shared" si="10"/>
        <v/>
      </c>
    </row>
    <row r="22" spans="2:42" hidden="1" x14ac:dyDescent="0.2">
      <c r="T22" s="253"/>
      <c r="U22" s="253"/>
      <c r="V22" s="253"/>
      <c r="W22" s="253"/>
      <c r="X22" s="253"/>
      <c r="Y22" s="253"/>
      <c r="Z22" s="253"/>
      <c r="AA22" s="253"/>
      <c r="AD22" s="211">
        <f t="shared" si="3"/>
        <v>0</v>
      </c>
      <c r="AE22" s="212" t="str">
        <f>IFERROR(INDEX(V!$R:$R,MATCH(AF22,V!$L:$L,0)),"")</f>
        <v/>
      </c>
      <c r="AF22" s="213" t="str">
        <f t="shared" si="5"/>
        <v/>
      </c>
      <c r="AG22" s="212" t="str">
        <f>IFERROR(INDEX(V!$R:$R,MATCH(AH22,V!$L:$L,0)),"")</f>
        <v/>
      </c>
      <c r="AH22" s="213" t="str">
        <f t="shared" si="6"/>
        <v/>
      </c>
      <c r="AI22" s="212" t="str">
        <f>IFERROR(INDEX(V!$R:$R,MATCH(AJ22,V!$L:$L,0)),"")</f>
        <v/>
      </c>
      <c r="AJ22" s="213" t="str">
        <f t="shared" si="7"/>
        <v/>
      </c>
      <c r="AK22" s="212" t="str">
        <f>IFERROR(INDEX(V!$R:$R,MATCH(AL22,V!$L:$L,0)),"")</f>
        <v/>
      </c>
      <c r="AL22" s="213" t="str">
        <f t="shared" si="8"/>
        <v/>
      </c>
      <c r="AM22" s="212" t="str">
        <f>IFERROR(INDEX(V!$R:$R,MATCH(AN22,V!$L:$L,0)),"")</f>
        <v/>
      </c>
      <c r="AN22" s="213" t="str">
        <f t="shared" si="9"/>
        <v/>
      </c>
      <c r="AO22" s="212" t="str">
        <f>IFERROR(INDEX(V!$R:$R,MATCH(AP22,V!$L:$L,0)),"")</f>
        <v/>
      </c>
      <c r="AP22" s="213" t="str">
        <f t="shared" si="10"/>
        <v/>
      </c>
    </row>
    <row r="23" spans="2:42" hidden="1" x14ac:dyDescent="0.2">
      <c r="T23" s="253"/>
      <c r="U23" s="253"/>
      <c r="V23" s="253"/>
      <c r="W23" s="253"/>
      <c r="X23" s="253"/>
      <c r="Y23" s="253"/>
      <c r="Z23" s="253"/>
      <c r="AA23" s="253"/>
      <c r="AD23" s="211">
        <f t="shared" si="3"/>
        <v>0</v>
      </c>
      <c r="AE23" s="212" t="str">
        <f>IFERROR(INDEX(V!$R:$R,MATCH(AF23,V!$L:$L,0)),"")</f>
        <v/>
      </c>
      <c r="AF23" s="213" t="str">
        <f t="shared" si="5"/>
        <v/>
      </c>
      <c r="AG23" s="212" t="str">
        <f>IFERROR(INDEX(V!$R:$R,MATCH(AH23,V!$L:$L,0)),"")</f>
        <v/>
      </c>
      <c r="AH23" s="213" t="str">
        <f t="shared" si="6"/>
        <v/>
      </c>
      <c r="AI23" s="212" t="str">
        <f>IFERROR(INDEX(V!$R:$R,MATCH(AJ23,V!$L:$L,0)),"")</f>
        <v/>
      </c>
      <c r="AJ23" s="213" t="str">
        <f t="shared" si="7"/>
        <v/>
      </c>
      <c r="AK23" s="212" t="str">
        <f>IFERROR(INDEX(V!$R:$R,MATCH(AL23,V!$L:$L,0)),"")</f>
        <v/>
      </c>
      <c r="AL23" s="213" t="str">
        <f t="shared" si="8"/>
        <v/>
      </c>
      <c r="AM23" s="212" t="str">
        <f>IFERROR(INDEX(V!$R:$R,MATCH(AN23,V!$L:$L,0)),"")</f>
        <v/>
      </c>
      <c r="AN23" s="213" t="str">
        <f t="shared" si="9"/>
        <v/>
      </c>
      <c r="AO23" s="212" t="str">
        <f>IFERROR(INDEX(V!$R:$R,MATCH(AP23,V!$L:$L,0)),"")</f>
        <v/>
      </c>
      <c r="AP23" s="213" t="str">
        <f t="shared" si="10"/>
        <v/>
      </c>
    </row>
    <row r="24" spans="2:42" hidden="1" x14ac:dyDescent="0.2">
      <c r="T24" s="253"/>
      <c r="U24" s="253"/>
      <c r="V24" s="253"/>
      <c r="W24" s="253"/>
      <c r="X24" s="253"/>
      <c r="Y24" s="253"/>
      <c r="Z24" s="253"/>
      <c r="AA24" s="253"/>
      <c r="AD24" s="211">
        <f t="shared" si="3"/>
        <v>0</v>
      </c>
      <c r="AE24" s="212" t="str">
        <f>IFERROR(INDEX(V!$R:$R,MATCH(AF24,V!$L:$L,0)),"")</f>
        <v/>
      </c>
      <c r="AF24" s="213" t="str">
        <f t="shared" si="5"/>
        <v/>
      </c>
      <c r="AG24" s="212" t="str">
        <f>IFERROR(INDEX(V!$R:$R,MATCH(AH24,V!$L:$L,0)),"")</f>
        <v/>
      </c>
      <c r="AH24" s="213" t="str">
        <f t="shared" si="6"/>
        <v/>
      </c>
      <c r="AI24" s="212" t="str">
        <f>IFERROR(INDEX(V!$R:$R,MATCH(AJ24,V!$L:$L,0)),"")</f>
        <v/>
      </c>
      <c r="AJ24" s="213" t="str">
        <f t="shared" si="7"/>
        <v/>
      </c>
      <c r="AK24" s="212" t="str">
        <f>IFERROR(INDEX(V!$R:$R,MATCH(AL24,V!$L:$L,0)),"")</f>
        <v/>
      </c>
      <c r="AL24" s="213" t="str">
        <f t="shared" si="8"/>
        <v/>
      </c>
      <c r="AM24" s="212" t="str">
        <f>IFERROR(INDEX(V!$R:$R,MATCH(AN24,V!$L:$L,0)),"")</f>
        <v/>
      </c>
      <c r="AN24" s="213" t="str">
        <f t="shared" si="9"/>
        <v/>
      </c>
      <c r="AO24" s="212" t="str">
        <f>IFERROR(INDEX(V!$R:$R,MATCH(AP24,V!$L:$L,0)),"")</f>
        <v/>
      </c>
      <c r="AP24" s="213" t="str">
        <f t="shared" si="10"/>
        <v/>
      </c>
    </row>
    <row r="25" spans="2:42" hidden="1" x14ac:dyDescent="0.2">
      <c r="T25" s="253"/>
      <c r="U25" s="253"/>
      <c r="V25" s="253"/>
      <c r="W25" s="253"/>
      <c r="X25" s="253"/>
      <c r="Y25" s="253"/>
      <c r="Z25" s="253"/>
      <c r="AA25" s="253"/>
      <c r="AD25" s="211">
        <f t="shared" si="3"/>
        <v>0</v>
      </c>
      <c r="AE25" s="212" t="str">
        <f>IFERROR(INDEX(V!$R:$R,MATCH(AF25,V!$L:$L,0)),"")</f>
        <v/>
      </c>
      <c r="AF25" s="213" t="str">
        <f t="shared" si="5"/>
        <v/>
      </c>
      <c r="AG25" s="212" t="str">
        <f>IFERROR(INDEX(V!$R:$R,MATCH(AH25,V!$L:$L,0)),"")</f>
        <v/>
      </c>
      <c r="AH25" s="213" t="str">
        <f t="shared" si="6"/>
        <v/>
      </c>
      <c r="AI25" s="212" t="str">
        <f>IFERROR(INDEX(V!$R:$R,MATCH(AJ25,V!$L:$L,0)),"")</f>
        <v/>
      </c>
      <c r="AJ25" s="213" t="str">
        <f t="shared" si="7"/>
        <v/>
      </c>
      <c r="AK25" s="212" t="str">
        <f>IFERROR(INDEX(V!$R:$R,MATCH(AL25,V!$L:$L,0)),"")</f>
        <v/>
      </c>
      <c r="AL25" s="213" t="str">
        <f t="shared" si="8"/>
        <v/>
      </c>
      <c r="AM25" s="212" t="str">
        <f>IFERROR(INDEX(V!$R:$R,MATCH(AN25,V!$L:$L,0)),"")</f>
        <v/>
      </c>
      <c r="AN25" s="213" t="str">
        <f t="shared" si="9"/>
        <v/>
      </c>
      <c r="AO25" s="212" t="str">
        <f>IFERROR(INDEX(V!$R:$R,MATCH(AP25,V!$L:$L,0)),"")</f>
        <v/>
      </c>
      <c r="AP25" s="213" t="str">
        <f t="shared" si="10"/>
        <v/>
      </c>
    </row>
    <row r="26" spans="2:42" hidden="1" x14ac:dyDescent="0.2">
      <c r="T26" s="253"/>
      <c r="U26" s="253"/>
      <c r="V26" s="253"/>
      <c r="W26" s="253"/>
      <c r="X26" s="253"/>
      <c r="Y26" s="253"/>
      <c r="Z26" s="253"/>
      <c r="AA26" s="253"/>
      <c r="AD26" s="211">
        <f t="shared" si="3"/>
        <v>0</v>
      </c>
      <c r="AE26" s="212" t="str">
        <f>IFERROR(INDEX(V!$R:$R,MATCH(AF26,V!$L:$L,0)),"")</f>
        <v/>
      </c>
      <c r="AF26" s="213" t="str">
        <f t="shared" si="5"/>
        <v/>
      </c>
      <c r="AG26" s="212" t="str">
        <f>IFERROR(INDEX(V!$R:$R,MATCH(AH26,V!$L:$L,0)),"")</f>
        <v/>
      </c>
      <c r="AH26" s="213" t="str">
        <f t="shared" si="6"/>
        <v/>
      </c>
      <c r="AI26" s="212" t="str">
        <f>IFERROR(INDEX(V!$R:$R,MATCH(AJ26,V!$L:$L,0)),"")</f>
        <v/>
      </c>
      <c r="AJ26" s="213" t="str">
        <f t="shared" si="7"/>
        <v/>
      </c>
      <c r="AK26" s="212" t="str">
        <f>IFERROR(INDEX(V!$R:$R,MATCH(AL26,V!$L:$L,0)),"")</f>
        <v/>
      </c>
      <c r="AL26" s="213" t="str">
        <f t="shared" si="8"/>
        <v/>
      </c>
      <c r="AM26" s="212" t="str">
        <f>IFERROR(INDEX(V!$R:$R,MATCH(AN26,V!$L:$L,0)),"")</f>
        <v/>
      </c>
      <c r="AN26" s="213" t="str">
        <f t="shared" si="9"/>
        <v/>
      </c>
      <c r="AO26" s="212" t="str">
        <f>IFERROR(INDEX(V!$R:$R,MATCH(AP26,V!$L:$L,0)),"")</f>
        <v/>
      </c>
      <c r="AP26" s="213" t="str">
        <f t="shared" si="10"/>
        <v/>
      </c>
    </row>
    <row r="27" spans="2:42" hidden="1" x14ac:dyDescent="0.2">
      <c r="T27" s="253"/>
      <c r="U27" s="253"/>
      <c r="V27" s="253"/>
      <c r="W27" s="253"/>
      <c r="X27" s="253"/>
      <c r="Y27" s="253"/>
      <c r="Z27" s="253"/>
      <c r="AA27" s="253"/>
      <c r="AD27" s="211">
        <f t="shared" si="3"/>
        <v>0</v>
      </c>
      <c r="AE27" s="212" t="str">
        <f>IFERROR(INDEX(V!$R:$R,MATCH(AF27,V!$L:$L,0)),"")</f>
        <v/>
      </c>
      <c r="AF27" s="213" t="str">
        <f t="shared" si="5"/>
        <v/>
      </c>
      <c r="AG27" s="212" t="str">
        <f>IFERROR(INDEX(V!$R:$R,MATCH(AH27,V!$L:$L,0)),"")</f>
        <v/>
      </c>
      <c r="AH27" s="213" t="str">
        <f t="shared" si="6"/>
        <v/>
      </c>
      <c r="AI27" s="212" t="str">
        <f>IFERROR(INDEX(V!$R:$R,MATCH(AJ27,V!$L:$L,0)),"")</f>
        <v/>
      </c>
      <c r="AJ27" s="213" t="str">
        <f t="shared" si="7"/>
        <v/>
      </c>
      <c r="AK27" s="212" t="str">
        <f>IFERROR(INDEX(V!$R:$R,MATCH(AL27,V!$L:$L,0)),"")</f>
        <v/>
      </c>
      <c r="AL27" s="213" t="str">
        <f t="shared" si="8"/>
        <v/>
      </c>
      <c r="AM27" s="212" t="str">
        <f>IFERROR(INDEX(V!$R:$R,MATCH(AN27,V!$L:$L,0)),"")</f>
        <v/>
      </c>
      <c r="AN27" s="213" t="str">
        <f t="shared" si="9"/>
        <v/>
      </c>
      <c r="AO27" s="212" t="str">
        <f>IFERROR(INDEX(V!$R:$R,MATCH(AP27,V!$L:$L,0)),"")</f>
        <v/>
      </c>
      <c r="AP27" s="213" t="str">
        <f t="shared" si="10"/>
        <v/>
      </c>
    </row>
    <row r="28" spans="2:42" hidden="1" x14ac:dyDescent="0.2">
      <c r="T28" s="253"/>
      <c r="U28" s="253"/>
      <c r="V28" s="253"/>
      <c r="W28" s="253"/>
      <c r="X28" s="253"/>
      <c r="Y28" s="253"/>
      <c r="Z28" s="253"/>
      <c r="AA28" s="253"/>
      <c r="AD28" s="211">
        <f t="shared" si="3"/>
        <v>0</v>
      </c>
      <c r="AE28" s="212" t="str">
        <f>IFERROR(INDEX(V!$R:$R,MATCH(AF28,V!$L:$L,0)),"")</f>
        <v/>
      </c>
      <c r="AF28" s="213" t="str">
        <f t="shared" si="5"/>
        <v/>
      </c>
      <c r="AG28" s="212" t="str">
        <f>IFERROR(INDEX(V!$R:$R,MATCH(AH28,V!$L:$L,0)),"")</f>
        <v/>
      </c>
      <c r="AH28" s="213" t="str">
        <f t="shared" si="6"/>
        <v/>
      </c>
      <c r="AI28" s="212" t="str">
        <f>IFERROR(INDEX(V!$R:$R,MATCH(AJ28,V!$L:$L,0)),"")</f>
        <v/>
      </c>
      <c r="AJ28" s="213" t="str">
        <f t="shared" si="7"/>
        <v/>
      </c>
      <c r="AK28" s="212" t="str">
        <f>IFERROR(INDEX(V!$R:$R,MATCH(AL28,V!$L:$L,0)),"")</f>
        <v/>
      </c>
      <c r="AL28" s="213" t="str">
        <f t="shared" si="8"/>
        <v/>
      </c>
      <c r="AM28" s="212" t="str">
        <f>IFERROR(INDEX(V!$R:$R,MATCH(AN28,V!$L:$L,0)),"")</f>
        <v/>
      </c>
      <c r="AN28" s="213" t="str">
        <f t="shared" si="9"/>
        <v/>
      </c>
      <c r="AO28" s="212" t="str">
        <f>IFERROR(INDEX(V!$R:$R,MATCH(AP28,V!$L:$L,0)),"")</f>
        <v/>
      </c>
      <c r="AP28" s="213" t="str">
        <f t="shared" si="10"/>
        <v/>
      </c>
    </row>
    <row r="29" spans="2:42" hidden="1" x14ac:dyDescent="0.2">
      <c r="T29" s="253"/>
      <c r="U29" s="253"/>
      <c r="V29" s="253"/>
      <c r="W29" s="253"/>
      <c r="X29" s="253"/>
      <c r="Y29" s="253"/>
      <c r="Z29" s="253"/>
      <c r="AA29" s="253"/>
      <c r="AD29" s="211">
        <f t="shared" si="3"/>
        <v>0</v>
      </c>
      <c r="AE29" s="212" t="str">
        <f>IFERROR(INDEX(V!$R:$R,MATCH(AF29,V!$L:$L,0)),"")</f>
        <v/>
      </c>
      <c r="AF29" s="213" t="str">
        <f t="shared" si="5"/>
        <v/>
      </c>
      <c r="AG29" s="212" t="str">
        <f>IFERROR(INDEX(V!$R:$R,MATCH(AH29,V!$L:$L,0)),"")</f>
        <v/>
      </c>
      <c r="AH29" s="213" t="str">
        <f t="shared" si="6"/>
        <v/>
      </c>
      <c r="AI29" s="212" t="str">
        <f>IFERROR(INDEX(V!$R:$R,MATCH(AJ29,V!$L:$L,0)),"")</f>
        <v/>
      </c>
      <c r="AJ29" s="213" t="str">
        <f t="shared" si="7"/>
        <v/>
      </c>
      <c r="AK29" s="212" t="str">
        <f>IFERROR(INDEX(V!$R:$R,MATCH(AL29,V!$L:$L,0)),"")</f>
        <v/>
      </c>
      <c r="AL29" s="213" t="str">
        <f t="shared" si="8"/>
        <v/>
      </c>
      <c r="AM29" s="212" t="str">
        <f>IFERROR(INDEX(V!$R:$R,MATCH(AN29,V!$L:$L,0)),"")</f>
        <v/>
      </c>
      <c r="AN29" s="213" t="str">
        <f t="shared" si="9"/>
        <v/>
      </c>
      <c r="AO29" s="212" t="str">
        <f>IFERROR(INDEX(V!$R:$R,MATCH(AP29,V!$L:$L,0)),"")</f>
        <v/>
      </c>
      <c r="AP29" s="213" t="str">
        <f t="shared" si="10"/>
        <v/>
      </c>
    </row>
    <row r="30" spans="2:42" hidden="1" x14ac:dyDescent="0.2">
      <c r="V30" s="253"/>
      <c r="W30" s="253"/>
      <c r="X30" s="253"/>
      <c r="Y30" s="253"/>
      <c r="Z30" s="253"/>
      <c r="AA30" s="253"/>
      <c r="AD30" s="211">
        <f t="shared" si="3"/>
        <v>0</v>
      </c>
      <c r="AE30" s="212" t="str">
        <f>IFERROR(INDEX(V!$R:$R,MATCH(AF30,V!$L:$L,0)),"")</f>
        <v/>
      </c>
      <c r="AF30" s="213" t="str">
        <f t="shared" si="5"/>
        <v/>
      </c>
      <c r="AG30" s="212" t="str">
        <f>IFERROR(INDEX(V!$R:$R,MATCH(AH30,V!$L:$L,0)),"")</f>
        <v/>
      </c>
      <c r="AH30" s="213" t="str">
        <f t="shared" si="6"/>
        <v/>
      </c>
      <c r="AI30" s="212" t="str">
        <f>IFERROR(INDEX(V!$R:$R,MATCH(AJ30,V!$L:$L,0)),"")</f>
        <v/>
      </c>
      <c r="AJ30" s="213" t="str">
        <f t="shared" si="7"/>
        <v/>
      </c>
      <c r="AK30" s="212" t="str">
        <f>IFERROR(INDEX(V!$R:$R,MATCH(AL30,V!$L:$L,0)),"")</f>
        <v/>
      </c>
      <c r="AL30" s="213" t="str">
        <f t="shared" si="8"/>
        <v/>
      </c>
      <c r="AM30" s="212" t="str">
        <f>IFERROR(INDEX(V!$R:$R,MATCH(AN30,V!$L:$L,0)),"")</f>
        <v/>
      </c>
      <c r="AN30" s="213" t="str">
        <f t="shared" si="9"/>
        <v/>
      </c>
      <c r="AO30" s="212" t="str">
        <f>IFERROR(INDEX(V!$R:$R,MATCH(AP30,V!$L:$L,0)),"")</f>
        <v/>
      </c>
      <c r="AP30" s="213" t="str">
        <f t="shared" si="10"/>
        <v/>
      </c>
    </row>
    <row r="31" spans="2:42" hidden="1" x14ac:dyDescent="0.2">
      <c r="V31" s="253"/>
      <c r="W31" s="253"/>
      <c r="X31" s="253"/>
      <c r="Y31" s="253"/>
      <c r="Z31" s="253"/>
      <c r="AA31" s="253"/>
      <c r="AD31" s="211">
        <f t="shared" si="3"/>
        <v>0</v>
      </c>
      <c r="AE31" s="212" t="str">
        <f>IFERROR(INDEX(V!$R:$R,MATCH(AF31,V!$L:$L,0)),"")</f>
        <v/>
      </c>
      <c r="AF31" s="213" t="str">
        <f t="shared" si="5"/>
        <v/>
      </c>
      <c r="AG31" s="212" t="str">
        <f>IFERROR(INDEX(V!$R:$R,MATCH(AH31,V!$L:$L,0)),"")</f>
        <v/>
      </c>
      <c r="AH31" s="213" t="str">
        <f t="shared" si="6"/>
        <v/>
      </c>
      <c r="AI31" s="212" t="str">
        <f>IFERROR(INDEX(V!$R:$R,MATCH(AJ31,V!$L:$L,0)),"")</f>
        <v/>
      </c>
      <c r="AJ31" s="213" t="str">
        <f t="shared" si="7"/>
        <v/>
      </c>
      <c r="AK31" s="212" t="str">
        <f>IFERROR(INDEX(V!$R:$R,MATCH(AL31,V!$L:$L,0)),"")</f>
        <v/>
      </c>
      <c r="AL31" s="213" t="str">
        <f t="shared" si="8"/>
        <v/>
      </c>
      <c r="AM31" s="212" t="str">
        <f>IFERROR(INDEX(V!$R:$R,MATCH(AN31,V!$L:$L,0)),"")</f>
        <v/>
      </c>
      <c r="AN31" s="213" t="str">
        <f t="shared" si="9"/>
        <v/>
      </c>
      <c r="AO31" s="212" t="str">
        <f>IFERROR(INDEX(V!$R:$R,MATCH(AP31,V!$L:$L,0)),"")</f>
        <v/>
      </c>
      <c r="AP31" s="213" t="str">
        <f t="shared" si="10"/>
        <v/>
      </c>
    </row>
    <row r="32" spans="2:42" hidden="1" x14ac:dyDescent="0.2">
      <c r="V32" s="253"/>
      <c r="W32" s="253"/>
      <c r="X32" s="253"/>
      <c r="Y32" s="253"/>
      <c r="Z32" s="253"/>
      <c r="AA32" s="253"/>
      <c r="AD32" s="211">
        <f t="shared" si="3"/>
        <v>0</v>
      </c>
      <c r="AE32" s="212" t="str">
        <f>IFERROR(INDEX(V!$R:$R,MATCH(AF32,V!$L:$L,0)),"")</f>
        <v/>
      </c>
      <c r="AF32" s="213" t="str">
        <f t="shared" si="5"/>
        <v/>
      </c>
      <c r="AG32" s="212" t="str">
        <f>IFERROR(INDEX(V!$R:$R,MATCH(AH32,V!$L:$L,0)),"")</f>
        <v/>
      </c>
      <c r="AH32" s="213" t="str">
        <f t="shared" si="6"/>
        <v/>
      </c>
      <c r="AI32" s="212" t="str">
        <f>IFERROR(INDEX(V!$R:$R,MATCH(AJ32,V!$L:$L,0)),"")</f>
        <v/>
      </c>
      <c r="AJ32" s="213" t="str">
        <f t="shared" si="7"/>
        <v/>
      </c>
      <c r="AK32" s="212" t="str">
        <f>IFERROR(INDEX(V!$R:$R,MATCH(AL32,V!$L:$L,0)),"")</f>
        <v/>
      </c>
      <c r="AL32" s="213" t="str">
        <f t="shared" si="8"/>
        <v/>
      </c>
      <c r="AM32" s="212" t="str">
        <f>IFERROR(INDEX(V!$R:$R,MATCH(AN32,V!$L:$L,0)),"")</f>
        <v/>
      </c>
      <c r="AN32" s="213" t="str">
        <f t="shared" si="9"/>
        <v/>
      </c>
      <c r="AO32" s="212" t="str">
        <f>IFERROR(INDEX(V!$R:$R,MATCH(AP32,V!$L:$L,0)),"")</f>
        <v/>
      </c>
      <c r="AP32" s="213" t="str">
        <f t="shared" si="10"/>
        <v/>
      </c>
    </row>
    <row r="33" spans="22:42" hidden="1" x14ac:dyDescent="0.2">
      <c r="V33" s="253"/>
      <c r="W33" s="253"/>
      <c r="X33" s="253"/>
      <c r="Y33" s="253"/>
      <c r="Z33" s="253"/>
      <c r="AA33" s="253"/>
      <c r="AD33" s="211">
        <f t="shared" si="3"/>
        <v>0</v>
      </c>
      <c r="AE33" s="212" t="str">
        <f>IFERROR(INDEX(V!$R:$R,MATCH(AF33,V!$L:$L,0)),"")</f>
        <v/>
      </c>
      <c r="AF33" s="213" t="str">
        <f t="shared" si="5"/>
        <v/>
      </c>
      <c r="AG33" s="212" t="str">
        <f>IFERROR(INDEX(V!$R:$R,MATCH(AH33,V!$L:$L,0)),"")</f>
        <v/>
      </c>
      <c r="AH33" s="213" t="str">
        <f t="shared" si="6"/>
        <v/>
      </c>
      <c r="AI33" s="212" t="str">
        <f>IFERROR(INDEX(V!$R:$R,MATCH(AJ33,V!$L:$L,0)),"")</f>
        <v/>
      </c>
      <c r="AJ33" s="213" t="str">
        <f t="shared" si="7"/>
        <v/>
      </c>
      <c r="AK33" s="212" t="str">
        <f>IFERROR(INDEX(V!$R:$R,MATCH(AL33,V!$L:$L,0)),"")</f>
        <v/>
      </c>
      <c r="AL33" s="213" t="str">
        <f t="shared" si="8"/>
        <v/>
      </c>
      <c r="AM33" s="212" t="str">
        <f>IFERROR(INDEX(V!$R:$R,MATCH(AN33,V!$L:$L,0)),"")</f>
        <v/>
      </c>
      <c r="AN33" s="213" t="str">
        <f t="shared" si="9"/>
        <v/>
      </c>
      <c r="AO33" s="212" t="str">
        <f>IFERROR(INDEX(V!$R:$R,MATCH(AP33,V!$L:$L,0)),"")</f>
        <v/>
      </c>
      <c r="AP33" s="213" t="str">
        <f t="shared" si="10"/>
        <v/>
      </c>
    </row>
    <row r="34" spans="22:42" hidden="1" x14ac:dyDescent="0.2">
      <c r="V34" s="253"/>
      <c r="W34" s="253"/>
      <c r="X34" s="253"/>
      <c r="Y34" s="253"/>
      <c r="Z34" s="253"/>
      <c r="AA34" s="253"/>
      <c r="AD34" s="211">
        <f t="shared" si="3"/>
        <v>0</v>
      </c>
      <c r="AE34" s="212" t="str">
        <f>IFERROR(INDEX(V!$R:$R,MATCH(AF34,V!$L:$L,0)),"")</f>
        <v/>
      </c>
      <c r="AF34" s="213" t="str">
        <f t="shared" si="5"/>
        <v/>
      </c>
      <c r="AG34" s="212" t="str">
        <f>IFERROR(INDEX(V!$R:$R,MATCH(AH34,V!$L:$L,0)),"")</f>
        <v/>
      </c>
      <c r="AH34" s="213" t="str">
        <f t="shared" si="6"/>
        <v/>
      </c>
      <c r="AI34" s="212" t="str">
        <f>IFERROR(INDEX(V!$R:$R,MATCH(AJ34,V!$L:$L,0)),"")</f>
        <v/>
      </c>
      <c r="AJ34" s="213" t="str">
        <f t="shared" si="7"/>
        <v/>
      </c>
      <c r="AK34" s="212" t="str">
        <f>IFERROR(INDEX(V!$R:$R,MATCH(AL34,V!$L:$L,0)),"")</f>
        <v/>
      </c>
      <c r="AL34" s="213" t="str">
        <f t="shared" si="8"/>
        <v/>
      </c>
      <c r="AM34" s="212" t="str">
        <f>IFERROR(INDEX(V!$R:$R,MATCH(AN34,V!$L:$L,0)),"")</f>
        <v/>
      </c>
      <c r="AN34" s="213" t="str">
        <f t="shared" si="9"/>
        <v/>
      </c>
      <c r="AO34" s="212" t="str">
        <f>IFERROR(INDEX(V!$R:$R,MATCH(AP34,V!$L:$L,0)),"")</f>
        <v/>
      </c>
      <c r="AP34" s="213" t="str">
        <f t="shared" si="10"/>
        <v/>
      </c>
    </row>
    <row r="35" spans="22:42" hidden="1" x14ac:dyDescent="0.2">
      <c r="V35" s="253"/>
      <c r="W35" s="253"/>
      <c r="X35" s="253"/>
      <c r="Y35" s="253"/>
      <c r="Z35" s="253"/>
      <c r="AA35" s="253"/>
      <c r="AD35" s="211">
        <f t="shared" si="3"/>
        <v>0</v>
      </c>
      <c r="AE35" s="212" t="str">
        <f>IFERROR(INDEX(V!$R:$R,MATCH(AF35,V!$L:$L,0)),"")</f>
        <v/>
      </c>
      <c r="AF35" s="213" t="str">
        <f t="shared" si="5"/>
        <v/>
      </c>
      <c r="AG35" s="212" t="str">
        <f>IFERROR(INDEX(V!$R:$R,MATCH(AH35,V!$L:$L,0)),"")</f>
        <v/>
      </c>
      <c r="AH35" s="213" t="str">
        <f t="shared" si="6"/>
        <v/>
      </c>
      <c r="AI35" s="212" t="str">
        <f>IFERROR(INDEX(V!$R:$R,MATCH(AJ35,V!$L:$L,0)),"")</f>
        <v/>
      </c>
      <c r="AJ35" s="213" t="str">
        <f t="shared" si="7"/>
        <v/>
      </c>
      <c r="AK35" s="212" t="str">
        <f>IFERROR(INDEX(V!$R:$R,MATCH(AL35,V!$L:$L,0)),"")</f>
        <v/>
      </c>
      <c r="AL35" s="213" t="str">
        <f t="shared" si="8"/>
        <v/>
      </c>
      <c r="AM35" s="212" t="str">
        <f>IFERROR(INDEX(V!$R:$R,MATCH(AN35,V!$L:$L,0)),"")</f>
        <v/>
      </c>
      <c r="AN35" s="213" t="str">
        <f t="shared" si="9"/>
        <v/>
      </c>
      <c r="AO35" s="212" t="str">
        <f>IFERROR(INDEX(V!$R:$R,MATCH(AP35,V!$L:$L,0)),"")</f>
        <v/>
      </c>
      <c r="AP35" s="213" t="str">
        <f t="shared" si="10"/>
        <v/>
      </c>
    </row>
    <row r="36" spans="22:42" hidden="1" x14ac:dyDescent="0.2">
      <c r="V36" s="253"/>
      <c r="W36" s="253"/>
      <c r="X36" s="253"/>
      <c r="Y36" s="253"/>
      <c r="Z36" s="253"/>
      <c r="AA36" s="253"/>
      <c r="AD36" s="211">
        <f t="shared" si="3"/>
        <v>0</v>
      </c>
      <c r="AE36" s="212" t="str">
        <f>IFERROR(INDEX(V!$R:$R,MATCH(AF36,V!$L:$L,0)),"")</f>
        <v/>
      </c>
      <c r="AF36" s="213" t="str">
        <f t="shared" si="5"/>
        <v/>
      </c>
      <c r="AG36" s="212" t="str">
        <f>IFERROR(INDEX(V!$R:$R,MATCH(AH36,V!$L:$L,0)),"")</f>
        <v/>
      </c>
      <c r="AH36" s="213" t="str">
        <f t="shared" si="6"/>
        <v/>
      </c>
      <c r="AI36" s="212" t="str">
        <f>IFERROR(INDEX(V!$R:$R,MATCH(AJ36,V!$L:$L,0)),"")</f>
        <v/>
      </c>
      <c r="AJ36" s="213" t="str">
        <f t="shared" si="7"/>
        <v/>
      </c>
      <c r="AK36" s="212" t="str">
        <f>IFERROR(INDEX(V!$R:$R,MATCH(AL36,V!$L:$L,0)),"")</f>
        <v/>
      </c>
      <c r="AL36" s="213" t="str">
        <f t="shared" si="8"/>
        <v/>
      </c>
      <c r="AM36" s="212" t="str">
        <f>IFERROR(INDEX(V!$R:$R,MATCH(AN36,V!$L:$L,0)),"")</f>
        <v/>
      </c>
      <c r="AN36" s="213" t="str">
        <f t="shared" si="9"/>
        <v/>
      </c>
      <c r="AO36" s="212" t="str">
        <f>IFERROR(INDEX(V!$R:$R,MATCH(AP36,V!$L:$L,0)),"")</f>
        <v/>
      </c>
      <c r="AP36" s="213" t="str">
        <f t="shared" si="10"/>
        <v/>
      </c>
    </row>
    <row r="37" spans="22:42" hidden="1" x14ac:dyDescent="0.2">
      <c r="V37" s="253"/>
      <c r="W37" s="253"/>
      <c r="X37" s="253"/>
      <c r="Y37" s="253"/>
      <c r="Z37" s="253"/>
      <c r="AA37" s="253"/>
      <c r="AD37" s="211">
        <f t="shared" si="3"/>
        <v>0</v>
      </c>
      <c r="AE37" s="212" t="str">
        <f>IFERROR(INDEX(V!$R:$R,MATCH(AF37,V!$L:$L,0)),"")</f>
        <v/>
      </c>
      <c r="AF37" s="213" t="str">
        <f t="shared" si="5"/>
        <v/>
      </c>
      <c r="AG37" s="212" t="str">
        <f>IFERROR(INDEX(V!$R:$R,MATCH(AH37,V!$L:$L,0)),"")</f>
        <v/>
      </c>
      <c r="AH37" s="213" t="str">
        <f t="shared" si="6"/>
        <v/>
      </c>
      <c r="AI37" s="212" t="str">
        <f>IFERROR(INDEX(V!$R:$R,MATCH(AJ37,V!$L:$L,0)),"")</f>
        <v/>
      </c>
      <c r="AJ37" s="213" t="str">
        <f t="shared" si="7"/>
        <v/>
      </c>
      <c r="AK37" s="212" t="str">
        <f>IFERROR(INDEX(V!$R:$R,MATCH(AL37,V!$L:$L,0)),"")</f>
        <v/>
      </c>
      <c r="AL37" s="213" t="str">
        <f t="shared" si="8"/>
        <v/>
      </c>
      <c r="AM37" s="212" t="str">
        <f>IFERROR(INDEX(V!$R:$R,MATCH(AN37,V!$L:$L,0)),"")</f>
        <v/>
      </c>
      <c r="AN37" s="213" t="str">
        <f t="shared" si="9"/>
        <v/>
      </c>
      <c r="AO37" s="212" t="str">
        <f>IFERROR(INDEX(V!$R:$R,MATCH(AP37,V!$L:$L,0)),"")</f>
        <v/>
      </c>
      <c r="AP37" s="213" t="str">
        <f t="shared" si="10"/>
        <v/>
      </c>
    </row>
    <row r="38" spans="22:42" hidden="1" x14ac:dyDescent="0.2">
      <c r="V38" s="253"/>
      <c r="W38" s="253"/>
      <c r="X38" s="253"/>
      <c r="Y38" s="253"/>
      <c r="Z38" s="253"/>
      <c r="AA38" s="253"/>
      <c r="AD38" s="211">
        <f t="shared" si="3"/>
        <v>0</v>
      </c>
      <c r="AE38" s="212" t="str">
        <f>IFERROR(INDEX(V!$R:$R,MATCH(AF38,V!$L:$L,0)),"")</f>
        <v/>
      </c>
      <c r="AF38" s="213" t="str">
        <f t="shared" si="5"/>
        <v/>
      </c>
      <c r="AG38" s="212" t="str">
        <f>IFERROR(INDEX(V!$R:$R,MATCH(AH38,V!$L:$L,0)),"")</f>
        <v/>
      </c>
      <c r="AH38" s="213" t="str">
        <f t="shared" si="6"/>
        <v/>
      </c>
      <c r="AI38" s="212" t="str">
        <f>IFERROR(INDEX(V!$R:$R,MATCH(AJ38,V!$L:$L,0)),"")</f>
        <v/>
      </c>
      <c r="AJ38" s="213" t="str">
        <f t="shared" si="7"/>
        <v/>
      </c>
      <c r="AK38" s="212" t="str">
        <f>IFERROR(INDEX(V!$R:$R,MATCH(AL38,V!$L:$L,0)),"")</f>
        <v/>
      </c>
      <c r="AL38" s="213" t="str">
        <f t="shared" si="8"/>
        <v/>
      </c>
      <c r="AM38" s="212" t="str">
        <f>IFERROR(INDEX(V!$R:$R,MATCH(AN38,V!$L:$L,0)),"")</f>
        <v/>
      </c>
      <c r="AN38" s="213" t="str">
        <f t="shared" si="9"/>
        <v/>
      </c>
      <c r="AO38" s="212" t="str">
        <f>IFERROR(INDEX(V!$R:$R,MATCH(AP38,V!$L:$L,0)),"")</f>
        <v/>
      </c>
      <c r="AP38" s="213" t="str">
        <f t="shared" si="10"/>
        <v/>
      </c>
    </row>
    <row r="39" spans="22:42" hidden="1" x14ac:dyDescent="0.2">
      <c r="V39" s="253"/>
      <c r="W39" s="253"/>
      <c r="X39" s="253"/>
      <c r="Y39" s="253"/>
      <c r="Z39" s="253"/>
      <c r="AA39" s="253"/>
      <c r="AD39" s="211">
        <f t="shared" si="3"/>
        <v>0</v>
      </c>
      <c r="AE39" s="212" t="str">
        <f>IFERROR(INDEX(V!$R:$R,MATCH(AF39,V!$L:$L,0)),"")</f>
        <v/>
      </c>
      <c r="AF39" s="213" t="str">
        <f t="shared" si="5"/>
        <v/>
      </c>
      <c r="AG39" s="212" t="str">
        <f>IFERROR(INDEX(V!$R:$R,MATCH(AH39,V!$L:$L,0)),"")</f>
        <v/>
      </c>
      <c r="AH39" s="213" t="str">
        <f t="shared" si="6"/>
        <v/>
      </c>
      <c r="AI39" s="212" t="str">
        <f>IFERROR(INDEX(V!$R:$R,MATCH(AJ39,V!$L:$L,0)),"")</f>
        <v/>
      </c>
      <c r="AJ39" s="213" t="str">
        <f t="shared" si="7"/>
        <v/>
      </c>
      <c r="AK39" s="212" t="str">
        <f>IFERROR(INDEX(V!$R:$R,MATCH(AL39,V!$L:$L,0)),"")</f>
        <v/>
      </c>
      <c r="AL39" s="213" t="str">
        <f t="shared" si="8"/>
        <v/>
      </c>
      <c r="AM39" s="212" t="str">
        <f>IFERROR(INDEX(V!$R:$R,MATCH(AN39,V!$L:$L,0)),"")</f>
        <v/>
      </c>
      <c r="AN39" s="213" t="str">
        <f t="shared" si="9"/>
        <v/>
      </c>
      <c r="AO39" s="212" t="str">
        <f>IFERROR(INDEX(V!$R:$R,MATCH(AP39,V!$L:$L,0)),"")</f>
        <v/>
      </c>
      <c r="AP39" s="213" t="str">
        <f t="shared" si="10"/>
        <v/>
      </c>
    </row>
    <row r="40" spans="22:42" hidden="1" x14ac:dyDescent="0.2">
      <c r="V40" s="253"/>
      <c r="W40" s="253"/>
      <c r="X40" s="253"/>
      <c r="Y40" s="253"/>
      <c r="Z40" s="253"/>
      <c r="AA40" s="253"/>
      <c r="AD40" s="211">
        <f t="shared" si="3"/>
        <v>0</v>
      </c>
      <c r="AE40" s="212" t="str">
        <f>IFERROR(INDEX(V!$R:$R,MATCH(AF40,V!$L:$L,0)),"")</f>
        <v/>
      </c>
      <c r="AF40" s="213" t="str">
        <f t="shared" si="5"/>
        <v/>
      </c>
      <c r="AG40" s="212" t="str">
        <f>IFERROR(INDEX(V!$R:$R,MATCH(AH40,V!$L:$L,0)),"")</f>
        <v/>
      </c>
      <c r="AH40" s="213" t="str">
        <f t="shared" si="6"/>
        <v/>
      </c>
      <c r="AI40" s="212" t="str">
        <f>IFERROR(INDEX(V!$R:$R,MATCH(AJ40,V!$L:$L,0)),"")</f>
        <v/>
      </c>
      <c r="AJ40" s="213" t="str">
        <f t="shared" si="7"/>
        <v/>
      </c>
      <c r="AK40" s="212" t="str">
        <f>IFERROR(INDEX(V!$R:$R,MATCH(AL40,V!$L:$L,0)),"")</f>
        <v/>
      </c>
      <c r="AL40" s="213" t="str">
        <f t="shared" si="8"/>
        <v/>
      </c>
      <c r="AM40" s="212" t="str">
        <f>IFERROR(INDEX(V!$R:$R,MATCH(AN40,V!$L:$L,0)),"")</f>
        <v/>
      </c>
      <c r="AN40" s="213" t="str">
        <f t="shared" si="9"/>
        <v/>
      </c>
      <c r="AO40" s="212" t="str">
        <f>IFERROR(INDEX(V!$R:$R,MATCH(AP40,V!$L:$L,0)),"")</f>
        <v/>
      </c>
      <c r="AP40" s="213" t="str">
        <f t="shared" si="10"/>
        <v/>
      </c>
    </row>
    <row r="41" spans="22:42" hidden="1" x14ac:dyDescent="0.2">
      <c r="V41" s="253"/>
      <c r="W41" s="253"/>
      <c r="X41" s="253"/>
      <c r="Y41" s="253"/>
      <c r="Z41" s="253"/>
      <c r="AA41" s="253"/>
      <c r="AD41" s="211">
        <f t="shared" si="3"/>
        <v>0</v>
      </c>
      <c r="AE41" s="212" t="str">
        <f>IFERROR(INDEX(V!$R:$R,MATCH(AF41,V!$L:$L,0)),"")</f>
        <v/>
      </c>
      <c r="AF41" s="213" t="str">
        <f t="shared" si="5"/>
        <v/>
      </c>
      <c r="AG41" s="212" t="str">
        <f>IFERROR(INDEX(V!$R:$R,MATCH(AH41,V!$L:$L,0)),"")</f>
        <v/>
      </c>
      <c r="AH41" s="213" t="str">
        <f t="shared" si="6"/>
        <v/>
      </c>
      <c r="AI41" s="212" t="str">
        <f>IFERROR(INDEX(V!$R:$R,MATCH(AJ41,V!$L:$L,0)),"")</f>
        <v/>
      </c>
      <c r="AJ41" s="213" t="str">
        <f t="shared" si="7"/>
        <v/>
      </c>
      <c r="AK41" s="212" t="str">
        <f>IFERROR(INDEX(V!$R:$R,MATCH(AL41,V!$L:$L,0)),"")</f>
        <v/>
      </c>
      <c r="AL41" s="213" t="str">
        <f t="shared" si="8"/>
        <v/>
      </c>
      <c r="AM41" s="212" t="str">
        <f>IFERROR(INDEX(V!$R:$R,MATCH(AN41,V!$L:$L,0)),"")</f>
        <v/>
      </c>
      <c r="AN41" s="213" t="str">
        <f t="shared" si="9"/>
        <v/>
      </c>
      <c r="AO41" s="212" t="str">
        <f>IFERROR(INDEX(V!$R:$R,MATCH(AP41,V!$L:$L,0)),"")</f>
        <v/>
      </c>
      <c r="AP41" s="213" t="str">
        <f t="shared" si="10"/>
        <v/>
      </c>
    </row>
    <row r="42" spans="22:42" hidden="1" x14ac:dyDescent="0.2">
      <c r="V42" s="253"/>
      <c r="W42" s="253"/>
      <c r="X42" s="253"/>
      <c r="Y42" s="253"/>
      <c r="Z42" s="253"/>
      <c r="AA42" s="253"/>
      <c r="AD42" s="211">
        <f t="shared" si="3"/>
        <v>0</v>
      </c>
      <c r="AE42" s="212" t="str">
        <f>IFERROR(INDEX(V!$R:$R,MATCH(AF42,V!$L:$L,0)),"")</f>
        <v/>
      </c>
      <c r="AF42" s="213" t="str">
        <f t="shared" si="5"/>
        <v/>
      </c>
      <c r="AG42" s="212" t="str">
        <f>IFERROR(INDEX(V!$R:$R,MATCH(AH42,V!$L:$L,0)),"")</f>
        <v/>
      </c>
      <c r="AH42" s="213" t="str">
        <f t="shared" si="6"/>
        <v/>
      </c>
      <c r="AI42" s="212" t="str">
        <f>IFERROR(INDEX(V!$R:$R,MATCH(AJ42,V!$L:$L,0)),"")</f>
        <v/>
      </c>
      <c r="AJ42" s="213" t="str">
        <f t="shared" si="7"/>
        <v/>
      </c>
      <c r="AK42" s="212" t="str">
        <f>IFERROR(INDEX(V!$R:$R,MATCH(AL42,V!$L:$L,0)),"")</f>
        <v/>
      </c>
      <c r="AL42" s="213" t="str">
        <f t="shared" si="8"/>
        <v/>
      </c>
      <c r="AM42" s="212" t="str">
        <f>IFERROR(INDEX(V!$R:$R,MATCH(AN42,V!$L:$L,0)),"")</f>
        <v/>
      </c>
      <c r="AN42" s="213" t="str">
        <f t="shared" si="9"/>
        <v/>
      </c>
      <c r="AO42" s="212" t="str">
        <f>IFERROR(INDEX(V!$R:$R,MATCH(AP42,V!$L:$L,0)),"")</f>
        <v/>
      </c>
      <c r="AP42" s="213" t="str">
        <f t="shared" si="10"/>
        <v/>
      </c>
    </row>
    <row r="43" spans="22:42" hidden="1" x14ac:dyDescent="0.2">
      <c r="V43" s="253"/>
      <c r="W43" s="253"/>
      <c r="X43" s="253"/>
      <c r="Y43" s="253"/>
      <c r="Z43" s="253"/>
      <c r="AA43" s="253"/>
      <c r="AD43" s="211">
        <f t="shared" si="3"/>
        <v>0</v>
      </c>
      <c r="AE43" s="212" t="str">
        <f>IFERROR(INDEX(V!$R:$R,MATCH(AF43,V!$L:$L,0)),"")</f>
        <v/>
      </c>
      <c r="AF43" s="213" t="str">
        <f t="shared" si="5"/>
        <v/>
      </c>
      <c r="AG43" s="212" t="str">
        <f>IFERROR(INDEX(V!$R:$R,MATCH(AH43,V!$L:$L,0)),"")</f>
        <v/>
      </c>
      <c r="AH43" s="213" t="str">
        <f t="shared" si="6"/>
        <v/>
      </c>
      <c r="AI43" s="212" t="str">
        <f>IFERROR(INDEX(V!$R:$R,MATCH(AJ43,V!$L:$L,0)),"")</f>
        <v/>
      </c>
      <c r="AJ43" s="213" t="str">
        <f t="shared" si="7"/>
        <v/>
      </c>
      <c r="AK43" s="212" t="str">
        <f>IFERROR(INDEX(V!$R:$R,MATCH(AL43,V!$L:$L,0)),"")</f>
        <v/>
      </c>
      <c r="AL43" s="213" t="str">
        <f t="shared" si="8"/>
        <v/>
      </c>
      <c r="AM43" s="212" t="str">
        <f>IFERROR(INDEX(V!$R:$R,MATCH(AN43,V!$L:$L,0)),"")</f>
        <v/>
      </c>
      <c r="AN43" s="213" t="str">
        <f t="shared" si="9"/>
        <v/>
      </c>
      <c r="AO43" s="212" t="str">
        <f>IFERROR(INDEX(V!$R:$R,MATCH(AP43,V!$L:$L,0)),"")</f>
        <v/>
      </c>
      <c r="AP43" s="213" t="str">
        <f t="shared" si="10"/>
        <v/>
      </c>
    </row>
    <row r="44" spans="22:42" hidden="1" x14ac:dyDescent="0.2">
      <c r="V44" s="253"/>
      <c r="W44" s="253"/>
      <c r="X44" s="253"/>
      <c r="Y44" s="253"/>
      <c r="Z44" s="253"/>
      <c r="AA44" s="253"/>
      <c r="AD44" s="211">
        <f t="shared" si="3"/>
        <v>0</v>
      </c>
      <c r="AE44" s="212" t="str">
        <f>IFERROR(INDEX(V!$R:$R,MATCH(AF44,V!$L:$L,0)),"")</f>
        <v/>
      </c>
      <c r="AF44" s="213" t="str">
        <f t="shared" si="5"/>
        <v/>
      </c>
      <c r="AG44" s="212" t="str">
        <f>IFERROR(INDEX(V!$R:$R,MATCH(AH44,V!$L:$L,0)),"")</f>
        <v/>
      </c>
      <c r="AH44" s="213" t="str">
        <f t="shared" si="6"/>
        <v/>
      </c>
      <c r="AI44" s="212" t="str">
        <f>IFERROR(INDEX(V!$R:$R,MATCH(AJ44,V!$L:$L,0)),"")</f>
        <v/>
      </c>
      <c r="AJ44" s="213" t="str">
        <f t="shared" si="7"/>
        <v/>
      </c>
      <c r="AK44" s="212" t="str">
        <f>IFERROR(INDEX(V!$R:$R,MATCH(AL44,V!$L:$L,0)),"")</f>
        <v/>
      </c>
      <c r="AL44" s="213" t="str">
        <f t="shared" si="8"/>
        <v/>
      </c>
      <c r="AM44" s="212" t="str">
        <f>IFERROR(INDEX(V!$R:$R,MATCH(AN44,V!$L:$L,0)),"")</f>
        <v/>
      </c>
      <c r="AN44" s="213" t="str">
        <f t="shared" si="9"/>
        <v/>
      </c>
      <c r="AO44" s="212" t="str">
        <f>IFERROR(INDEX(V!$R:$R,MATCH(AP44,V!$L:$L,0)),"")</f>
        <v/>
      </c>
      <c r="AP44" s="213" t="str">
        <f t="shared" si="10"/>
        <v/>
      </c>
    </row>
    <row r="45" spans="22:42" hidden="1" x14ac:dyDescent="0.2"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</row>
    <row r="46" spans="22:42" hidden="1" x14ac:dyDescent="0.2"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</row>
    <row r="47" spans="22:42" hidden="1" x14ac:dyDescent="0.2"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</row>
    <row r="48" spans="22:42" hidden="1" x14ac:dyDescent="0.2"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</row>
    <row r="49" spans="1:36" hidden="1" x14ac:dyDescent="0.2"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</row>
    <row r="50" spans="1:36" hidden="1" x14ac:dyDescent="0.2"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</row>
    <row r="51" spans="1:36" hidden="1" x14ac:dyDescent="0.2"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3"/>
    </row>
    <row r="52" spans="1:36" hidden="1" x14ac:dyDescent="0.2"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</row>
    <row r="53" spans="1:36" hidden="1" x14ac:dyDescent="0.2"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53"/>
    </row>
    <row r="54" spans="1:36" hidden="1" x14ac:dyDescent="0.2">
      <c r="V54" s="253"/>
      <c r="W54" s="253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  <c r="AI54" s="253"/>
      <c r="AJ54" s="253"/>
    </row>
    <row r="55" spans="1:36" hidden="1" x14ac:dyDescent="0.2"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  <c r="AI55" s="253"/>
      <c r="AJ55" s="253"/>
    </row>
    <row r="56" spans="1:36" hidden="1" x14ac:dyDescent="0.2"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  <c r="AJ56" s="253"/>
    </row>
    <row r="57" spans="1:36" hidden="1" x14ac:dyDescent="0.2">
      <c r="V57" s="253"/>
      <c r="W57" s="253"/>
      <c r="X57" s="253"/>
      <c r="Y57" s="253"/>
      <c r="Z57" s="253"/>
      <c r="AA57" s="253"/>
      <c r="AB57" s="253"/>
      <c r="AC57" s="253"/>
      <c r="AD57" s="253"/>
      <c r="AE57" s="253"/>
      <c r="AF57" s="253"/>
      <c r="AG57" s="253"/>
      <c r="AH57" s="253"/>
      <c r="AI57" s="253"/>
      <c r="AJ57" s="253"/>
    </row>
    <row r="58" spans="1:36" hidden="1" x14ac:dyDescent="0.2"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53"/>
    </row>
    <row r="59" spans="1:36" hidden="1" x14ac:dyDescent="0.2"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  <c r="AI59" s="253"/>
      <c r="AJ59" s="253"/>
    </row>
    <row r="60" spans="1:36" hidden="1" x14ac:dyDescent="0.2">
      <c r="A60" s="41"/>
      <c r="E60" s="41"/>
      <c r="F60" s="36"/>
      <c r="G60" s="41"/>
      <c r="H60" s="41"/>
      <c r="I60" s="36"/>
      <c r="J60" s="41"/>
      <c r="K60" s="36"/>
      <c r="L60" s="41"/>
      <c r="M60" s="175"/>
      <c r="N60" s="36"/>
      <c r="O60" s="36"/>
      <c r="P60" s="36"/>
      <c r="Q60" s="36"/>
      <c r="R60" s="36"/>
      <c r="S60" s="36"/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  <c r="AI60" s="253"/>
      <c r="AJ60" s="253"/>
    </row>
    <row r="61" spans="1:36" hidden="1" x14ac:dyDescent="0.2">
      <c r="A61" s="41"/>
      <c r="E61" s="41"/>
      <c r="F61" s="36"/>
      <c r="G61" s="41"/>
      <c r="H61" s="41"/>
      <c r="I61" s="36"/>
      <c r="J61" s="41"/>
      <c r="K61" s="36"/>
      <c r="L61" s="41"/>
      <c r="M61" s="175"/>
      <c r="N61" s="36"/>
      <c r="O61" s="36"/>
      <c r="P61" s="36"/>
      <c r="Q61" s="36"/>
      <c r="R61" s="36"/>
      <c r="S61" s="36"/>
    </row>
    <row r="62" spans="1:36" hidden="1" x14ac:dyDescent="0.2">
      <c r="A62" s="41"/>
      <c r="E62" s="41"/>
      <c r="F62" s="36"/>
      <c r="G62" s="41"/>
      <c r="H62" s="41"/>
      <c r="I62" s="36"/>
      <c r="J62" s="41"/>
      <c r="K62" s="36"/>
      <c r="L62" s="41"/>
      <c r="M62" s="175"/>
      <c r="N62" s="36"/>
      <c r="O62" s="36"/>
      <c r="P62" s="36"/>
      <c r="Q62" s="36"/>
      <c r="R62" s="36"/>
      <c r="S62" s="36"/>
    </row>
    <row r="63" spans="1:36" hidden="1" x14ac:dyDescent="0.2">
      <c r="A63" s="41"/>
      <c r="E63" s="41"/>
      <c r="F63" s="41"/>
      <c r="G63" s="41"/>
      <c r="H63" s="41"/>
      <c r="I63" s="36"/>
      <c r="J63" s="41"/>
      <c r="K63" s="36"/>
      <c r="L63" s="41"/>
      <c r="M63" s="175"/>
      <c r="N63" s="36"/>
      <c r="O63" s="36"/>
      <c r="P63" s="36"/>
      <c r="Q63" s="36"/>
      <c r="R63" s="36"/>
      <c r="S63" s="36"/>
    </row>
    <row r="64" spans="1:36" hidden="1" x14ac:dyDescent="0.2">
      <c r="A64" s="41"/>
      <c r="E64" s="41"/>
      <c r="F64" s="41"/>
      <c r="G64" s="41"/>
      <c r="H64" s="41"/>
      <c r="I64" s="36"/>
      <c r="J64" s="41"/>
      <c r="K64" s="36"/>
      <c r="L64" s="41"/>
      <c r="M64" s="175"/>
      <c r="N64" s="36"/>
      <c r="O64" s="36"/>
      <c r="P64" s="36"/>
      <c r="Q64" s="36"/>
      <c r="R64" s="36"/>
      <c r="S64" s="36"/>
    </row>
    <row r="65" spans="1:19" ht="12.75" hidden="1" customHeight="1" x14ac:dyDescent="0.2">
      <c r="A65" s="41"/>
      <c r="E65" s="41"/>
      <c r="F65" s="41"/>
      <c r="G65" s="41"/>
      <c r="H65" s="41"/>
      <c r="I65" s="36"/>
      <c r="J65" s="41"/>
      <c r="K65" s="36"/>
      <c r="L65" s="41"/>
      <c r="M65" s="175"/>
      <c r="N65" s="36"/>
      <c r="O65" s="36"/>
      <c r="P65" s="36"/>
      <c r="Q65" s="36"/>
      <c r="R65" s="36"/>
      <c r="S65" s="36"/>
    </row>
    <row r="66" spans="1:19" ht="12.75" hidden="1" customHeight="1" x14ac:dyDescent="0.2">
      <c r="A66" s="41"/>
      <c r="E66" s="41"/>
      <c r="F66" s="41"/>
      <c r="G66" s="41"/>
      <c r="H66" s="41"/>
      <c r="I66" s="36"/>
      <c r="J66" s="41"/>
      <c r="K66" s="36"/>
      <c r="L66" s="41"/>
      <c r="M66" s="175"/>
      <c r="N66" s="36"/>
      <c r="O66" s="36"/>
      <c r="P66" s="36"/>
      <c r="Q66" s="36"/>
      <c r="R66" s="36"/>
      <c r="S66" s="36"/>
    </row>
    <row r="67" spans="1:19" ht="12.75" hidden="1" customHeight="1" x14ac:dyDescent="0.2">
      <c r="A67" s="41"/>
      <c r="B67" s="196"/>
      <c r="C67" s="42"/>
      <c r="D67" s="42"/>
      <c r="E67" s="41"/>
      <c r="F67" s="41"/>
      <c r="G67" s="41"/>
      <c r="H67" s="41"/>
      <c r="I67" s="36"/>
      <c r="J67" s="41"/>
      <c r="K67" s="36"/>
      <c r="L67" s="41"/>
      <c r="M67" s="175"/>
      <c r="N67" s="36"/>
      <c r="O67" s="36"/>
      <c r="P67" s="36"/>
      <c r="Q67" s="36"/>
      <c r="R67" s="36"/>
      <c r="S67" s="36"/>
    </row>
    <row r="68" spans="1:19" ht="12.75" hidden="1" customHeight="1" x14ac:dyDescent="0.2">
      <c r="A68" s="41"/>
      <c r="E68" s="41"/>
      <c r="F68" s="36"/>
      <c r="G68" s="36"/>
      <c r="H68" s="41"/>
      <c r="I68" s="36"/>
      <c r="J68" s="41"/>
      <c r="K68" s="36"/>
      <c r="L68" s="41"/>
      <c r="M68" s="175"/>
      <c r="N68" s="36"/>
      <c r="O68" s="36"/>
      <c r="P68" s="36"/>
      <c r="Q68" s="36"/>
      <c r="R68" s="36"/>
      <c r="S68" s="36"/>
    </row>
    <row r="69" spans="1:19" hidden="1" x14ac:dyDescent="0.2">
      <c r="A69" s="41"/>
      <c r="E69" s="41"/>
      <c r="F69" s="36"/>
      <c r="G69" s="36"/>
      <c r="H69" s="36"/>
      <c r="I69" s="36"/>
      <c r="J69" s="41"/>
      <c r="K69" s="36"/>
      <c r="L69" s="41"/>
      <c r="M69" s="175"/>
      <c r="N69" s="36"/>
      <c r="O69" s="36"/>
      <c r="P69" s="36"/>
      <c r="Q69" s="36"/>
      <c r="R69" s="36"/>
      <c r="S69" s="36"/>
    </row>
    <row r="70" spans="1:19" hidden="1" x14ac:dyDescent="0.2">
      <c r="A70" s="41"/>
      <c r="E70" s="41"/>
      <c r="F70" s="36"/>
      <c r="G70" s="36"/>
      <c r="H70" s="41"/>
      <c r="I70" s="36"/>
      <c r="J70" s="41"/>
      <c r="K70" s="36"/>
      <c r="L70" s="41"/>
      <c r="M70" s="175"/>
      <c r="N70" s="36"/>
      <c r="O70" s="36"/>
      <c r="P70" s="36"/>
      <c r="Q70" s="36"/>
      <c r="R70" s="36"/>
      <c r="S70" s="36"/>
    </row>
    <row r="71" spans="1:19" hidden="1" x14ac:dyDescent="0.2">
      <c r="A71" s="41"/>
      <c r="E71" s="41"/>
      <c r="F71" s="36"/>
      <c r="G71" s="36"/>
      <c r="H71" s="41"/>
      <c r="I71" s="36"/>
      <c r="J71" s="41"/>
      <c r="K71" s="36"/>
      <c r="L71" s="41"/>
      <c r="M71" s="175"/>
      <c r="N71" s="36"/>
      <c r="O71" s="36"/>
      <c r="P71" s="36"/>
      <c r="Q71" s="36"/>
      <c r="R71" s="36"/>
      <c r="S71" s="36"/>
    </row>
    <row r="72" spans="1:19" hidden="1" x14ac:dyDescent="0.2">
      <c r="A72" s="41"/>
      <c r="E72" s="41"/>
      <c r="F72" s="36"/>
      <c r="G72" s="36"/>
      <c r="H72" s="41"/>
      <c r="I72" s="36"/>
      <c r="J72" s="41"/>
      <c r="K72" s="36"/>
      <c r="L72" s="41"/>
      <c r="M72" s="175"/>
      <c r="N72" s="36"/>
      <c r="O72" s="36"/>
      <c r="P72" s="36"/>
      <c r="Q72" s="36"/>
      <c r="R72" s="36"/>
      <c r="S72" s="36"/>
    </row>
    <row r="73" spans="1:19" hidden="1" x14ac:dyDescent="0.2"/>
    <row r="74" spans="1:19" hidden="1" x14ac:dyDescent="0.2"/>
    <row r="75" spans="1:19" hidden="1" x14ac:dyDescent="0.2"/>
    <row r="76" spans="1:19" hidden="1" x14ac:dyDescent="0.2"/>
    <row r="77" spans="1:19" hidden="1" x14ac:dyDescent="0.2"/>
    <row r="78" spans="1:19" hidden="1" x14ac:dyDescent="0.2"/>
    <row r="79" spans="1:19" hidden="1" x14ac:dyDescent="0.2"/>
    <row r="80" spans="1:19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8" hidden="1" x14ac:dyDescent="0.2"/>
    <row r="98" spans="1:8" hidden="1" x14ac:dyDescent="0.2">
      <c r="A98" s="167" t="s">
        <v>339</v>
      </c>
      <c r="H98" s="156"/>
    </row>
    <row r="99" spans="1:8" hidden="1" x14ac:dyDescent="0.2">
      <c r="H99" s="156"/>
    </row>
    <row r="100" spans="1:8" ht="13.5" hidden="1" thickBot="1" x14ac:dyDescent="0.25">
      <c r="G100" s="319" t="str">
        <f>IFERROR(INDEX(B$1:B$98,MATCH(1,J$1:J$98,0)),"")</f>
        <v>Olav Türk, Sirje Maala, Urmas Jõeäär</v>
      </c>
      <c r="H100" s="156"/>
    </row>
    <row r="101" spans="1:8" hidden="1" x14ac:dyDescent="0.2">
      <c r="G101" s="756" t="s">
        <v>147</v>
      </c>
      <c r="H101" s="757"/>
    </row>
    <row r="102" spans="1:8" hidden="1" x14ac:dyDescent="0.2">
      <c r="G102" s="156"/>
      <c r="H102" s="156"/>
    </row>
    <row r="103" spans="1:8" ht="13.5" hidden="1" thickBot="1" x14ac:dyDescent="0.25">
      <c r="G103" s="319" t="str">
        <f>IFERROR(INDEX(B$1:B$98,MATCH(2,J$1:J$98,0)),"")</f>
        <v>Enn Tokman, Kenneth Muusikus, Peep Peenema</v>
      </c>
      <c r="H103" s="322"/>
    </row>
    <row r="104" spans="1:8" hidden="1" x14ac:dyDescent="0.2">
      <c r="G104" s="756" t="s">
        <v>148</v>
      </c>
      <c r="H104" s="168"/>
    </row>
    <row r="105" spans="1:8" hidden="1" x14ac:dyDescent="0.2">
      <c r="G105" s="156"/>
      <c r="H105" s="156"/>
    </row>
    <row r="106" spans="1:8" ht="13.5" hidden="1" thickBot="1" x14ac:dyDescent="0.25">
      <c r="G106" s="319" t="str">
        <f>IFERROR(INDEX(B$1:B$98,MATCH(3,J$1:J$98,0)),"")</f>
        <v>Annaliset Neiland, Hillar Neiland, Kaspar Mänd</v>
      </c>
      <c r="H106" s="322"/>
    </row>
    <row r="107" spans="1:8" hidden="1" x14ac:dyDescent="0.2">
      <c r="G107" s="173" t="s">
        <v>149</v>
      </c>
      <c r="H107" s="168"/>
    </row>
    <row r="108" spans="1:8" hidden="1" x14ac:dyDescent="0.2">
      <c r="G108" s="168"/>
      <c r="H108" s="168"/>
    </row>
    <row r="109" spans="1:8" ht="13.5" hidden="1" thickBot="1" x14ac:dyDescent="0.25">
      <c r="G109" s="319" t="str">
        <f>IFERROR(INDEX(B$1:B$98,MATCH(4,J$1:J$98,0)),"")</f>
        <v>Jaan Saar, Marta Bernat, Viktor Švarõgin</v>
      </c>
      <c r="H109" s="322"/>
    </row>
    <row r="110" spans="1:8" hidden="1" x14ac:dyDescent="0.2">
      <c r="G110" s="155" t="s">
        <v>150</v>
      </c>
      <c r="H110" s="156"/>
    </row>
    <row r="111" spans="1:8" hidden="1" x14ac:dyDescent="0.2">
      <c r="G111" s="156"/>
      <c r="H111" s="156"/>
    </row>
    <row r="112" spans="1:8" ht="13.5" hidden="1" thickBot="1" x14ac:dyDescent="0.25">
      <c r="G112" s="319" t="str">
        <f>IFERROR(INDEX(B$1:B$98,MATCH(5,J$1:J$98,0)),"")</f>
        <v>Andrei Grintšak, Janek Tarto, Sander Rose</v>
      </c>
      <c r="H112" s="156"/>
    </row>
    <row r="113" spans="7:8" hidden="1" x14ac:dyDescent="0.2">
      <c r="G113" s="756" t="s">
        <v>151</v>
      </c>
      <c r="H113" s="757"/>
    </row>
    <row r="114" spans="7:8" hidden="1" x14ac:dyDescent="0.2">
      <c r="G114" s="156"/>
      <c r="H114" s="156"/>
    </row>
    <row r="115" spans="7:8" ht="13.5" hidden="1" thickBot="1" x14ac:dyDescent="0.25">
      <c r="G115" s="319" t="str">
        <f>IFERROR(INDEX(B$1:B$98,MATCH(6,J$1:J$98,0)),"")</f>
        <v>Illar Tõnurist, Johannes Neiland, Urmas Randlaine</v>
      </c>
      <c r="H115" s="322"/>
    </row>
    <row r="116" spans="7:8" hidden="1" x14ac:dyDescent="0.2">
      <c r="G116" s="756" t="s">
        <v>152</v>
      </c>
      <c r="H116" s="168"/>
    </row>
    <row r="117" spans="7:8" hidden="1" x14ac:dyDescent="0.2"/>
    <row r="118" spans="7:8" hidden="1" x14ac:dyDescent="0.2"/>
    <row r="119" spans="7:8" hidden="1" x14ac:dyDescent="0.2"/>
    <row r="120" spans="7:8" hidden="1" x14ac:dyDescent="0.2"/>
    <row r="121" spans="7:8" hidden="1" x14ac:dyDescent="0.2"/>
    <row r="122" spans="7:8" hidden="1" x14ac:dyDescent="0.2"/>
    <row r="123" spans="7:8" hidden="1" x14ac:dyDescent="0.2"/>
    <row r="124" spans="7:8" hidden="1" x14ac:dyDescent="0.2"/>
    <row r="125" spans="7:8" hidden="1" x14ac:dyDescent="0.2"/>
    <row r="126" spans="7:8" hidden="1" x14ac:dyDescent="0.2"/>
    <row r="127" spans="7:8" hidden="1" x14ac:dyDescent="0.2"/>
    <row r="128" spans="7: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5" hidden="1" x14ac:dyDescent="0.2"/>
    <row r="290" spans="1:5" hidden="1" x14ac:dyDescent="0.2"/>
    <row r="291" spans="1:5" hidden="1" x14ac:dyDescent="0.2"/>
    <row r="292" spans="1:5" hidden="1" x14ac:dyDescent="0.2"/>
    <row r="293" spans="1:5" hidden="1" x14ac:dyDescent="0.2"/>
    <row r="294" spans="1:5" hidden="1" x14ac:dyDescent="0.2"/>
    <row r="295" spans="1:5" hidden="1" x14ac:dyDescent="0.2"/>
    <row r="296" spans="1:5" hidden="1" x14ac:dyDescent="0.2"/>
    <row r="299" spans="1:5" x14ac:dyDescent="0.2">
      <c r="A299" s="157"/>
      <c r="B299" s="157"/>
      <c r="C299" s="207" t="s">
        <v>190</v>
      </c>
      <c r="E299" s="724"/>
    </row>
    <row r="300" spans="1:5" x14ac:dyDescent="0.2">
      <c r="A300" s="301">
        <v>1</v>
      </c>
      <c r="B300" s="394" t="s">
        <v>340</v>
      </c>
      <c r="C300" s="274">
        <f t="shared" ref="C300:C305" si="11">LARGE(A300:A399,1)*3+3-A300*3</f>
        <v>18</v>
      </c>
      <c r="E300" s="724"/>
    </row>
    <row r="301" spans="1:5" x14ac:dyDescent="0.2">
      <c r="A301" s="301">
        <v>2</v>
      </c>
      <c r="B301" s="394" t="s">
        <v>341</v>
      </c>
      <c r="C301" s="274">
        <f t="shared" si="11"/>
        <v>15</v>
      </c>
      <c r="E301" s="724"/>
    </row>
    <row r="302" spans="1:5" x14ac:dyDescent="0.2">
      <c r="A302" s="301">
        <v>3</v>
      </c>
      <c r="B302" s="394" t="s">
        <v>278</v>
      </c>
      <c r="C302" s="274">
        <f t="shared" si="11"/>
        <v>12</v>
      </c>
      <c r="E302" s="724"/>
    </row>
    <row r="303" spans="1:5" x14ac:dyDescent="0.2">
      <c r="A303" s="301">
        <v>4</v>
      </c>
      <c r="B303" s="394" t="s">
        <v>342</v>
      </c>
      <c r="C303" s="274">
        <f t="shared" si="11"/>
        <v>9</v>
      </c>
      <c r="E303" s="724"/>
    </row>
    <row r="304" spans="1:5" x14ac:dyDescent="0.2">
      <c r="A304" s="301">
        <v>5</v>
      </c>
      <c r="B304" s="394" t="s">
        <v>343</v>
      </c>
      <c r="C304" s="274">
        <f t="shared" si="11"/>
        <v>6</v>
      </c>
      <c r="E304" s="724"/>
    </row>
    <row r="305" spans="1:5" x14ac:dyDescent="0.2">
      <c r="A305" s="301">
        <v>6</v>
      </c>
      <c r="B305" s="394" t="s">
        <v>344</v>
      </c>
      <c r="C305" s="274">
        <f t="shared" si="11"/>
        <v>3</v>
      </c>
      <c r="E305" s="724"/>
    </row>
  </sheetData>
  <conditionalFormatting sqref="AJ7:AJ44">
    <cfRule type="expression" dxfId="466" priority="54">
      <formula>AND(AI7="",FIND(",",AJ7))</formula>
    </cfRule>
    <cfRule type="expression" dxfId="465" priority="56">
      <formula>AND(AI7="",COUNTIF(AJ7,"*,*")=0)</formula>
    </cfRule>
  </conditionalFormatting>
  <conditionalFormatting sqref="AH7:AH44">
    <cfRule type="expression" dxfId="464" priority="57">
      <formula>AND(AG7="",FIND(",",AH7))</formula>
    </cfRule>
    <cfRule type="expression" dxfId="463" priority="58">
      <formula>AND(AG7="",COUNTIF(AH7,"*,*")=0)</formula>
    </cfRule>
  </conditionalFormatting>
  <conditionalFormatting sqref="AL7:AL44">
    <cfRule type="expression" dxfId="462" priority="59">
      <formula>AND(AK7="",FIND(",",AL7))</formula>
    </cfRule>
    <cfRule type="expression" dxfId="461" priority="60">
      <formula>AND(AK7="",COUNTIF(AL7,"*,*")=0)</formula>
    </cfRule>
  </conditionalFormatting>
  <conditionalFormatting sqref="AF7:AF44">
    <cfRule type="expression" dxfId="460" priority="55">
      <formula>AND(AE7="",COUNTIF(AF7,"*,*")=0)</formula>
    </cfRule>
  </conditionalFormatting>
  <conditionalFormatting sqref="AN7:AN44">
    <cfRule type="expression" dxfId="459" priority="51">
      <formula>AND(AM7="",COUNTIF(AN7,"*,*")=0)</formula>
    </cfRule>
    <cfRule type="expression" dxfId="458" priority="53">
      <formula>AND(AM7="",FIND(",",AN7))</formula>
    </cfRule>
  </conditionalFormatting>
  <conditionalFormatting sqref="AP7:AP44">
    <cfRule type="expression" dxfId="457" priority="50">
      <formula>AND(AO7="",COUNTIF(AP7,"*,*")=0)</formula>
    </cfRule>
    <cfRule type="expression" dxfId="456" priority="52">
      <formula>AND(AO7="",FIND(",",AP7))</formula>
    </cfRule>
  </conditionalFormatting>
  <conditionalFormatting sqref="B300:B305">
    <cfRule type="expression" dxfId="455" priority="1211">
      <formula>A300=3</formula>
    </cfRule>
    <cfRule type="expression" dxfId="454" priority="1212">
      <formula>A300=2</formula>
    </cfRule>
    <cfRule type="expression" dxfId="453" priority="1213">
      <formula>A300=1</formula>
    </cfRule>
    <cfRule type="containsBlanks" dxfId="452" priority="1214">
      <formula>LEN(TRIM(B300))=0</formula>
    </cfRule>
    <cfRule type="duplicateValues" dxfId="451" priority="1215"/>
  </conditionalFormatting>
  <conditionalFormatting sqref="D7 C8">
    <cfRule type="aboveAverage" dxfId="450" priority="16"/>
  </conditionalFormatting>
  <conditionalFormatting sqref="E7 C9 C12">
    <cfRule type="aboveAverage" dxfId="449" priority="15"/>
  </conditionalFormatting>
  <conditionalFormatting sqref="E8 D9 D12">
    <cfRule type="aboveAverage" dxfId="448" priority="14"/>
  </conditionalFormatting>
  <conditionalFormatting sqref="P7:P11">
    <cfRule type="expression" dxfId="447" priority="13">
      <formula>OR(AND(K7=1,L7=1,M7=0,N7=1),AND(K7=2,L7=2,M7=0,N7=2))</formula>
    </cfRule>
  </conditionalFormatting>
  <conditionalFormatting sqref="N7:N11">
    <cfRule type="expression" dxfId="446" priority="6">
      <formula>AND(M7&gt;0,IF(COUNTIF(M$7:M$11,M7)&gt;1,TRUE,FALSE))</formula>
    </cfRule>
    <cfRule type="expression" dxfId="445" priority="7">
      <formula>AND(IF(COUNTIF(S$7:S$11,"=1")=2,TRUE),IF(COUNTIF(S$7:S$11,"=2")=2,TRUE))</formula>
    </cfRule>
    <cfRule type="expression" dxfId="444" priority="8">
      <formula>AND(S7=4,IF(COUNTIF(S$7:S$11,"=4")=1,TRUE))</formula>
    </cfRule>
    <cfRule type="expression" dxfId="443" priority="9">
      <formula>AND(S7=3,IF(COUNTIF(S$7:S$11,"=3")=1,TRUE))</formula>
    </cfRule>
    <cfRule type="expression" dxfId="442" priority="10">
      <formula>AND(S7=2,IF(COUNTIF(S$7:S$11,"=2")=1,TRUE))</formula>
    </cfRule>
    <cfRule type="expression" dxfId="441" priority="11">
      <formula>AND(S7=1,IF(COUNTIF(S$7:S$11,"=1")=1,TRUE))</formula>
    </cfRule>
    <cfRule type="expression" dxfId="440" priority="12">
      <formula>OR(S7=0,S7=5)</formula>
    </cfRule>
  </conditionalFormatting>
  <conditionalFormatting sqref="K7:K11">
    <cfRule type="expression" dxfId="439" priority="2">
      <formula>AND(R7=4,IF(COUNTIF(R$7:R$11,"=4")&gt;=2,TRUE))</formula>
    </cfRule>
    <cfRule type="expression" dxfId="438" priority="3">
      <formula>AND(R7=3,IF(COUNTIF(R$7:R$11,"=3")&gt;=2,TRUE))</formula>
    </cfRule>
    <cfRule type="expression" dxfId="437" priority="4">
      <formula>AND(R7=2,IF(COUNTIF(R$7:R$11,"=2")&gt;=2,TRUE))</formula>
    </cfRule>
    <cfRule type="expression" dxfId="436" priority="5">
      <formula>AND(R7=1,IF(COUNTIF(R$7:R$11,"=1")&gt;=2,TRUE))</formula>
    </cfRule>
  </conditionalFormatting>
  <conditionalFormatting sqref="L7:L11">
    <cfRule type="expression" dxfId="435" priority="17">
      <formula>AND(K7&gt;0,IF(COUNTIF(K$7:K$11,"=1")=2,TRUE),IF(COUNTIF(K$7:K$11,"=2")=2,TRUE))</formula>
    </cfRule>
    <cfRule type="expression" dxfId="434" priority="18">
      <formula>IF(COUNTIF(M$7:M$11,"=2")=2,TRUE)</formula>
    </cfRule>
    <cfRule type="expression" dxfId="433" priority="19">
      <formula>IF(COUNTIF(M$7:M$11,"=1")=2,TRUE)</formula>
    </cfRule>
    <cfRule type="expression" dxfId="432" priority="20">
      <formula>AND(IF(COUNTIF(S$7:S$11,"=1")=2,TRUE),IF(COUNTIF(T$7:T$11,"=2")=2,TRUE))</formula>
    </cfRule>
    <cfRule type="expression" dxfId="431" priority="21">
      <formula>AND(S7=4,IF(COUNTIF(S$7:S$11,"=4")=1,TRUE))</formula>
    </cfRule>
    <cfRule type="expression" dxfId="430" priority="22">
      <formula>AND(S7=3,IF(COUNTIF(S$7:S$11,"=3")=1,TRUE))</formula>
    </cfRule>
    <cfRule type="expression" dxfId="429" priority="23">
      <formula>AND(S7=2,IF(COUNTIF(S$7:S$11,"=2")=1,TRUE))</formula>
    </cfRule>
    <cfRule type="expression" dxfId="428" priority="24">
      <formula>AND(S7=1,IF(COUNTIF(S$7:S$11,"=1")=1,TRUE))</formula>
    </cfRule>
    <cfRule type="expression" dxfId="427" priority="25">
      <formula>OR(S7=0,S7=5)</formula>
    </cfRule>
  </conditionalFormatting>
  <conditionalFormatting sqref="H98:H99 G100:G116">
    <cfRule type="containsText" dxfId="426" priority="1" operator="containsText" text="I-Viru">
      <formula>NOT(ISERROR(SEARCH("I-Viru",G98)))</formula>
    </cfRule>
  </conditionalFormatting>
  <conditionalFormatting sqref="B7 B10 B12">
    <cfRule type="duplicateValues" dxfId="425" priority="26"/>
  </conditionalFormatting>
  <conditionalFormatting sqref="I7:I12">
    <cfRule type="expression" dxfId="424" priority="27">
      <formula>AND(R7=4,IF(COUNTIF(R$7:R$12,"=4")&gt;=2,TRUE))</formula>
    </cfRule>
    <cfRule type="expression" dxfId="423" priority="28">
      <formula>AND(R7=3,IF(COUNTIF(R$7:R$12,"=3")&gt;=2,TRUE))</formula>
    </cfRule>
    <cfRule type="expression" dxfId="422" priority="29">
      <formula>AND(R7=2,IF(COUNTIF(R$7:R$12,"=2")&gt;=2,TRUE))</formula>
    </cfRule>
    <cfRule type="expression" dxfId="421" priority="30">
      <formula>AND(R7=1,IF(COUNTIF(R$7:R$12,"=1")&gt;=2,TRUE))</formula>
    </cfRule>
  </conditionalFormatting>
  <conditionalFormatting sqref="F7 C10 H7">
    <cfRule type="aboveAverage" dxfId="420" priority="31"/>
  </conditionalFormatting>
  <conditionalFormatting sqref="G7 C11">
    <cfRule type="aboveAverage" dxfId="419" priority="32"/>
  </conditionalFormatting>
  <conditionalFormatting sqref="F8 D10 H8">
    <cfRule type="aboveAverage" dxfId="418" priority="33"/>
  </conditionalFormatting>
  <conditionalFormatting sqref="G8 D11">
    <cfRule type="aboveAverage" dxfId="417" priority="34"/>
  </conditionalFormatting>
  <conditionalFormatting sqref="F9 E10 F12 H9 H12">
    <cfRule type="aboveAverage" dxfId="416" priority="35"/>
  </conditionalFormatting>
  <conditionalFormatting sqref="G9 E11 G12">
    <cfRule type="aboveAverage" dxfId="415" priority="36"/>
  </conditionalFormatting>
  <conditionalFormatting sqref="F11 G10 H11">
    <cfRule type="aboveAverage" dxfId="414" priority="37"/>
  </conditionalFormatting>
  <pageMargins left="0.78740157480314965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  <rowBreaks count="4" manualBreakCount="4">
    <brk id="98" max="16383" man="1"/>
    <brk id="136" max="16383" man="1"/>
    <brk id="192" max="16383" man="1"/>
    <brk id="231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08"/>
  <sheetViews>
    <sheetView showGridLines="0" showRowColHeaders="0" workbookViewId="0">
      <pane ySplit="1" topLeftCell="A2" activePane="bottomLeft" state="frozen"/>
      <selection pane="bottomLeft" activeCell="A5" sqref="A5"/>
    </sheetView>
  </sheetViews>
  <sheetFormatPr defaultRowHeight="12.75" x14ac:dyDescent="0.2"/>
  <cols>
    <col min="1" max="1" width="3.28515625" style="1" customWidth="1"/>
    <col min="2" max="2" width="46" style="1" bestFit="1" customWidth="1"/>
    <col min="3" max="3" width="4.7109375" style="1" customWidth="1"/>
    <col min="4" max="4" width="1.140625" style="1" customWidth="1"/>
    <col min="5" max="5" width="2.7109375" style="1" customWidth="1"/>
    <col min="6" max="6" width="9.140625" style="1"/>
    <col min="7" max="7" width="2.7109375" style="1" customWidth="1"/>
    <col min="8" max="8" width="1.140625" style="1" customWidth="1"/>
    <col min="9" max="9" width="2.7109375" style="1" customWidth="1"/>
    <col min="10" max="10" width="9.140625" style="1"/>
    <col min="11" max="11" width="2.7109375" style="1" customWidth="1"/>
    <col min="12" max="12" width="1.140625" style="1" customWidth="1"/>
    <col min="13" max="13" width="2.7109375" style="1" customWidth="1"/>
    <col min="14" max="14" width="9.140625" style="1"/>
    <col min="15" max="15" width="2.7109375" style="1" customWidth="1"/>
    <col min="16" max="16" width="1.140625" style="1" customWidth="1"/>
    <col min="17" max="17" width="2.7109375" style="1" customWidth="1"/>
    <col min="18" max="18" width="9.140625" style="1"/>
    <col min="19" max="19" width="2.7109375" style="1" hidden="1" customWidth="1"/>
    <col min="20" max="20" width="1.140625" style="1" hidden="1" customWidth="1"/>
    <col min="21" max="21" width="2.7109375" style="1" hidden="1" customWidth="1"/>
    <col min="22" max="22" width="0" style="1" hidden="1" customWidth="1"/>
    <col min="23" max="23" width="5.7109375" style="1" bestFit="1" customWidth="1"/>
    <col min="24" max="24" width="5.5703125" style="1" customWidth="1"/>
    <col min="25" max="25" width="6.85546875" style="1" bestFit="1" customWidth="1"/>
    <col min="26" max="26" width="2.7109375" style="1" customWidth="1"/>
    <col min="27" max="27" width="1.140625" style="1" customWidth="1"/>
    <col min="28" max="28" width="2.7109375" style="1" customWidth="1"/>
    <col min="29" max="29" width="4.140625" style="1" bestFit="1" customWidth="1"/>
    <col min="30" max="31" width="9.140625" style="1" hidden="1" customWidth="1"/>
    <col min="32" max="32" width="18.28515625" style="1" hidden="1" customWidth="1"/>
    <col min="33" max="33" width="9.140625" style="1" hidden="1" customWidth="1"/>
    <col min="34" max="34" width="32.140625" style="1" hidden="1" customWidth="1"/>
    <col min="35" max="35" width="9.140625" style="1" hidden="1" customWidth="1"/>
    <col min="36" max="36" width="17.28515625" style="1" hidden="1" customWidth="1"/>
    <col min="37" max="37" width="9.140625" style="1" hidden="1" customWidth="1"/>
    <col min="38" max="38" width="17" style="1" hidden="1" customWidth="1"/>
    <col min="39" max="39" width="9.140625" style="1" hidden="1" customWidth="1"/>
    <col min="40" max="40" width="17.28515625" style="1" hidden="1" customWidth="1"/>
    <col min="41" max="41" width="9.140625" style="1" hidden="1" customWidth="1"/>
    <col min="42" max="42" width="13.85546875" style="1" hidden="1" customWidth="1"/>
    <col min="43" max="16384" width="9.140625" style="1"/>
  </cols>
  <sheetData>
    <row r="1" spans="1:42" x14ac:dyDescent="0.2">
      <c r="A1" s="206" t="str">
        <f>UPPER((Kalend!E27)&amp;" - "&amp;(Kalend!C27))&amp;" - "&amp;LOWER(Kalend!D27)&amp;" - "&amp;(Kalend!A27)&amp;" kell "&amp;(Kalend!B27)&amp;" - "&amp;(Kalend!F27)</f>
        <v>V8 - VOKA IV SISE-KV 8. ETAPP
TOILA VALLA LAHTISED SISE-MV - trio - P, 03.04.2022 kell 11:00 - Voka petangihall</v>
      </c>
      <c r="O1" s="157"/>
      <c r="P1" s="157"/>
      <c r="Q1" s="187"/>
      <c r="R1" s="187"/>
      <c r="S1" s="187"/>
      <c r="T1" s="40"/>
      <c r="U1" s="40"/>
      <c r="W1" s="40"/>
      <c r="X1" s="157"/>
      <c r="Y1" s="28"/>
      <c r="Z1" s="157"/>
      <c r="AD1" s="44" t="s">
        <v>71</v>
      </c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303"/>
      <c r="AP1" s="303"/>
    </row>
    <row r="2" spans="1:42" x14ac:dyDescent="0.2">
      <c r="F2" s="157"/>
      <c r="L2" s="214"/>
      <c r="M2" s="214"/>
      <c r="N2" s="214"/>
      <c r="O2" s="157"/>
      <c r="P2" s="157"/>
      <c r="Q2" s="157"/>
      <c r="R2" s="157"/>
      <c r="S2" s="157"/>
      <c r="T2" s="214"/>
      <c r="U2" s="214"/>
      <c r="X2" s="215" t="s">
        <v>195</v>
      </c>
      <c r="Y2" s="216">
        <v>1</v>
      </c>
      <c r="Z2" s="217" t="s">
        <v>196</v>
      </c>
      <c r="AD2" s="157"/>
      <c r="AE2" s="157"/>
      <c r="AF2" s="157"/>
      <c r="AG2" s="157"/>
      <c r="AH2" s="157"/>
      <c r="AI2" s="157"/>
      <c r="AJ2" s="217"/>
      <c r="AK2" s="157"/>
      <c r="AL2" s="157"/>
      <c r="AM2" s="157"/>
      <c r="AN2" s="157"/>
    </row>
    <row r="3" spans="1:42" x14ac:dyDescent="0.2">
      <c r="F3" s="157"/>
      <c r="L3" s="214"/>
      <c r="M3" s="214"/>
      <c r="N3" s="214"/>
      <c r="O3" s="157"/>
      <c r="P3" s="157"/>
      <c r="Q3" s="157"/>
      <c r="R3" s="157"/>
      <c r="S3" s="157"/>
      <c r="T3" s="214"/>
      <c r="U3" s="214"/>
      <c r="X3" s="218" t="s">
        <v>197</v>
      </c>
      <c r="Y3" s="216">
        <v>0.5</v>
      </c>
      <c r="Z3" s="217" t="s">
        <v>196</v>
      </c>
      <c r="AE3" s="157"/>
      <c r="AG3" s="157"/>
      <c r="AH3" s="157"/>
      <c r="AI3" s="157"/>
      <c r="AJ3" s="157"/>
      <c r="AK3" s="157"/>
      <c r="AL3" s="157"/>
      <c r="AM3" s="157"/>
      <c r="AN3" s="157"/>
    </row>
    <row r="4" spans="1:42" x14ac:dyDescent="0.2">
      <c r="F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X4" s="219" t="s">
        <v>198</v>
      </c>
      <c r="Y4" s="216">
        <v>0</v>
      </c>
      <c r="Z4" s="217" t="s">
        <v>196</v>
      </c>
      <c r="AA4" s="157"/>
      <c r="AE4" s="214"/>
      <c r="AF4" s="214"/>
      <c r="AG4" s="214"/>
      <c r="AH4" s="205"/>
      <c r="AI4" s="214"/>
      <c r="AJ4" s="214"/>
      <c r="AK4" s="214"/>
      <c r="AL4" s="214"/>
      <c r="AM4" s="214"/>
      <c r="AN4" s="214"/>
      <c r="AO4" s="214"/>
      <c r="AP4" s="214"/>
    </row>
    <row r="5" spans="1:42" x14ac:dyDescent="0.2">
      <c r="F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363" t="s">
        <v>231</v>
      </c>
      <c r="AC5" s="157"/>
      <c r="AD5" s="360" t="s">
        <v>176</v>
      </c>
    </row>
    <row r="6" spans="1:42" x14ac:dyDescent="0.2">
      <c r="A6" s="326" t="s">
        <v>10</v>
      </c>
      <c r="B6" s="326" t="s">
        <v>58</v>
      </c>
      <c r="C6" s="327" t="s">
        <v>133</v>
      </c>
      <c r="D6" s="328"/>
      <c r="E6" s="328"/>
      <c r="F6" s="329"/>
      <c r="G6" s="327" t="s">
        <v>136</v>
      </c>
      <c r="H6" s="328"/>
      <c r="I6" s="328"/>
      <c r="J6" s="329"/>
      <c r="K6" s="327" t="s">
        <v>139</v>
      </c>
      <c r="L6" s="328"/>
      <c r="M6" s="328"/>
      <c r="N6" s="329"/>
      <c r="O6" s="327" t="s">
        <v>142</v>
      </c>
      <c r="P6" s="328"/>
      <c r="Q6" s="328"/>
      <c r="R6" s="329"/>
      <c r="S6" s="327" t="s">
        <v>144</v>
      </c>
      <c r="T6" s="328"/>
      <c r="U6" s="328"/>
      <c r="V6" s="329"/>
      <c r="W6" s="326" t="s">
        <v>79</v>
      </c>
      <c r="X6" s="330" t="s">
        <v>220</v>
      </c>
      <c r="Y6" s="326" t="s">
        <v>358</v>
      </c>
      <c r="Z6" s="330"/>
      <c r="AA6" s="331" t="s">
        <v>221</v>
      </c>
      <c r="AB6" s="332"/>
      <c r="AC6" s="157"/>
      <c r="AD6" s="158" t="s">
        <v>224</v>
      </c>
      <c r="AE6" s="159"/>
      <c r="AF6" s="159" t="s">
        <v>191</v>
      </c>
      <c r="AG6" s="159"/>
      <c r="AH6" s="209" t="s">
        <v>192</v>
      </c>
      <c r="AI6" s="159"/>
      <c r="AJ6" s="159" t="s">
        <v>193</v>
      </c>
      <c r="AK6" s="160"/>
      <c r="AL6" s="159" t="s">
        <v>194</v>
      </c>
      <c r="AM6" s="160"/>
      <c r="AN6" s="160" t="s">
        <v>229</v>
      </c>
      <c r="AO6" s="359"/>
      <c r="AP6" s="160" t="s">
        <v>230</v>
      </c>
    </row>
    <row r="7" spans="1:42" x14ac:dyDescent="0.2">
      <c r="A7" s="333">
        <v>1</v>
      </c>
      <c r="B7" s="395" t="s">
        <v>348</v>
      </c>
      <c r="C7" s="334">
        <v>13</v>
      </c>
      <c r="D7" s="335" t="s">
        <v>222</v>
      </c>
      <c r="E7" s="336">
        <v>10</v>
      </c>
      <c r="F7" s="337" t="s">
        <v>355</v>
      </c>
      <c r="G7" s="334">
        <v>13</v>
      </c>
      <c r="H7" s="335" t="s">
        <v>222</v>
      </c>
      <c r="I7" s="336">
        <v>8</v>
      </c>
      <c r="J7" s="337" t="s">
        <v>353</v>
      </c>
      <c r="K7" s="334">
        <v>13</v>
      </c>
      <c r="L7" s="335" t="s">
        <v>222</v>
      </c>
      <c r="M7" s="336">
        <v>7</v>
      </c>
      <c r="N7" s="337" t="s">
        <v>349</v>
      </c>
      <c r="O7" s="334">
        <v>13</v>
      </c>
      <c r="P7" s="335" t="s">
        <v>222</v>
      </c>
      <c r="Q7" s="336">
        <v>11</v>
      </c>
      <c r="R7" s="337" t="s">
        <v>351</v>
      </c>
      <c r="S7" s="334"/>
      <c r="T7" s="335" t="s">
        <v>222</v>
      </c>
      <c r="U7" s="336"/>
      <c r="V7" s="337"/>
      <c r="W7" s="338">
        <f t="shared" ref="W7:W15" si="0">IF(C7&gt;E7,Y$2,IF(C7&lt;E7,Y$4,IF(ISNUMBER(C7),Y$3,0)))+IF(G7&gt;I7,Y$2,IF(G7&lt;I7,Y$4,IF(ISNUMBER(G7),Y$3,0)))+IF(K7&gt;M7,Y$2,IF(K7&lt;M7,Y$4,IF(ISNUMBER(K7),Y$3,0)))+IF(O7&gt;Q7,Y$2,IF(O7&lt;Q7,Y$4,IF(ISNUMBER(O7),Y$3,0)))+IF(S7&gt;U7,Y$2,IF(S7&lt;U7,Y$4,IF(ISNUMBER(S7),Y$3,0)))</f>
        <v>4</v>
      </c>
      <c r="X7" s="911">
        <v>16</v>
      </c>
      <c r="Y7" s="914">
        <v>80</v>
      </c>
      <c r="Z7" s="334">
        <f t="shared" ref="Z7:Z15" si="1">C7+G7+K7+O7+S7</f>
        <v>52</v>
      </c>
      <c r="AA7" s="335" t="s">
        <v>222</v>
      </c>
      <c r="AB7" s="340">
        <f t="shared" ref="AB7:AB15" si="2">E7+I7+M7+Q7+U7</f>
        <v>36</v>
      </c>
      <c r="AC7" s="341">
        <f>Z7-AB7</f>
        <v>16</v>
      </c>
      <c r="AD7" s="211">
        <f>SUM(AE7:AP7)</f>
        <v>367</v>
      </c>
      <c r="AE7" s="212">
        <f>IFERROR(INDEX(V!$R:$R,MATCH(AF7,V!$L:$L,0)),"")</f>
        <v>159</v>
      </c>
      <c r="AF7" s="213" t="str">
        <f>IFERROR(LEFT($B7,(FIND(",",$B7,1)-1)),"")</f>
        <v>Henri Mitt</v>
      </c>
      <c r="AG7" s="212" t="str">
        <f>IFERROR(INDEX(V!$R:$R,MATCH(AH7,V!$L:$L,0)),"")</f>
        <v/>
      </c>
      <c r="AH7" s="213" t="str">
        <f>IFERROR(MID($B7,FIND(", ",$B7)+2,256),"")</f>
        <v>Hillar Neiland, Tõnis Neiland</v>
      </c>
      <c r="AI7" s="212">
        <f>IFERROR(INDEX(V!$R:$R,MATCH(AJ7,V!$L:$L,0)),"")</f>
        <v>143</v>
      </c>
      <c r="AJ7" s="213" t="str">
        <f>IFERROR(MID($B7,FIND("^",SUBSTITUTE($B7,", ","^",1))+2,FIND("^",SUBSTITUTE($B7,", ","^",2))-FIND("^",SUBSTITUTE($B7,", ","^",1))-2),"")</f>
        <v>Hillar Neiland</v>
      </c>
      <c r="AK7" s="212">
        <f>IFERROR(INDEX(V!$R:$R,MATCH(AL7,V!$L:$L,0)),"")</f>
        <v>65</v>
      </c>
      <c r="AL7" s="213" t="str">
        <f>IFERROR(MID($B7,FIND(", ",$B7,FIND(", ",$B7,FIND(", ",$B7))+1)+2,30000),"")</f>
        <v>Tõnis Neiland</v>
      </c>
      <c r="AM7" s="212" t="str">
        <f>IFERROR(INDEX(V!$R:$R,MATCH(AN7,V!$L:$L,0)),"")</f>
        <v/>
      </c>
      <c r="AN7" s="213" t="str">
        <f>IFERROR(MID($B7,FIND(", ",$B7,FIND(", ",$B7)+1)+2,FIND(", ",$B7,FIND(", ",$B7,FIND(", ",$B7)+1)+1)-FIND(", ",$B7,FIND(", ",$B7)+1)-2),"")</f>
        <v/>
      </c>
      <c r="AO7" s="212" t="str">
        <f>IFERROR(INDEX(V!$R:$R,MATCH(AP7,V!$L:$L,0)),"")</f>
        <v/>
      </c>
      <c r="AP7" s="213" t="str">
        <f>IFERROR(MID($B7,FIND(", ",$B7,FIND(", ",$B7,FIND(", ",$B7)+1)+1)+2,30000),"")</f>
        <v/>
      </c>
    </row>
    <row r="8" spans="1:42" x14ac:dyDescent="0.2">
      <c r="A8" s="333">
        <v>2</v>
      </c>
      <c r="B8" s="241" t="s">
        <v>349</v>
      </c>
      <c r="C8" s="334">
        <v>13</v>
      </c>
      <c r="D8" s="335" t="s">
        <v>222</v>
      </c>
      <c r="E8" s="336">
        <v>6</v>
      </c>
      <c r="F8" s="337" t="s">
        <v>350</v>
      </c>
      <c r="G8" s="334">
        <v>13</v>
      </c>
      <c r="H8" s="335" t="s">
        <v>222</v>
      </c>
      <c r="I8" s="336">
        <v>1</v>
      </c>
      <c r="J8" s="337" t="s">
        <v>351</v>
      </c>
      <c r="K8" s="334">
        <v>7</v>
      </c>
      <c r="L8" s="335" t="s">
        <v>222</v>
      </c>
      <c r="M8" s="336">
        <v>13</v>
      </c>
      <c r="N8" s="337" t="s">
        <v>348</v>
      </c>
      <c r="O8" s="334">
        <v>13</v>
      </c>
      <c r="P8" s="335" t="s">
        <v>222</v>
      </c>
      <c r="Q8" s="336">
        <v>5</v>
      </c>
      <c r="R8" s="337" t="s">
        <v>352</v>
      </c>
      <c r="S8" s="334"/>
      <c r="T8" s="335" t="s">
        <v>222</v>
      </c>
      <c r="U8" s="336"/>
      <c r="V8" s="337"/>
      <c r="W8" s="385">
        <f t="shared" si="0"/>
        <v>3</v>
      </c>
      <c r="X8" s="912">
        <v>22</v>
      </c>
      <c r="Y8" s="914">
        <v>64</v>
      </c>
      <c r="Z8" s="334">
        <f t="shared" si="1"/>
        <v>46</v>
      </c>
      <c r="AA8" s="335" t="s">
        <v>222</v>
      </c>
      <c r="AB8" s="340">
        <f t="shared" si="2"/>
        <v>25</v>
      </c>
      <c r="AC8" s="341">
        <f t="shared" ref="AC8:AC15" si="3">Z8-AB8</f>
        <v>21</v>
      </c>
      <c r="AD8" s="211">
        <f t="shared" ref="AD8:AD11" si="4">SUM(AE8:AL8)</f>
        <v>327</v>
      </c>
      <c r="AE8" s="212">
        <f>IFERROR(INDEX(V!$R:$R,MATCH(AF8,V!$L:$L,0)),"")</f>
        <v>153</v>
      </c>
      <c r="AF8" s="213" t="str">
        <f t="shared" ref="AF8:AF15" si="5">IFERROR(LEFT($B8,(FIND(",",$B8,1)-1)),"")</f>
        <v>Kaspar Mänd</v>
      </c>
      <c r="AG8" s="212" t="str">
        <f>IFERROR(INDEX(V!$R:$R,MATCH(AH8,V!$L:$L,0)),"")</f>
        <v/>
      </c>
      <c r="AH8" s="213" t="str">
        <f t="shared" ref="AH8:AH15" si="6">IFERROR(MID($B8,FIND(", ",$B8)+2,256),"")</f>
        <v>Matti Vinni, Olav Türk</v>
      </c>
      <c r="AI8" s="212">
        <f>IFERROR(INDEX(V!$R:$R,MATCH(AJ8,V!$L:$L,0)),"")</f>
        <v>42</v>
      </c>
      <c r="AJ8" s="213" t="str">
        <f t="shared" ref="AJ8:AJ15" si="7">IFERROR(MID($B8,FIND("^",SUBSTITUTE($B8,", ","^",1))+2,FIND("^",SUBSTITUTE($B8,", ","^",2))-FIND("^",SUBSTITUTE($B8,", ","^",1))-2),"")</f>
        <v>Matti Vinni</v>
      </c>
      <c r="AK8" s="212">
        <f>IFERROR(INDEX(V!$R:$R,MATCH(AL8,V!$L:$L,0)),"")</f>
        <v>132</v>
      </c>
      <c r="AL8" s="213" t="str">
        <f t="shared" ref="AL8:AL15" si="8">IFERROR(MID($B8,FIND(", ",$B8,FIND(", ",$B8,FIND(", ",$B8))+1)+2,30000),"")</f>
        <v>Olav Türk</v>
      </c>
      <c r="AM8" s="212" t="str">
        <f>IFERROR(INDEX(V!$R:$R,MATCH(AN8,V!$L:$L,0)),"")</f>
        <v/>
      </c>
      <c r="AN8" s="213" t="str">
        <f t="shared" ref="AN8:AN15" si="9">IFERROR(MID($B8,FIND(", ",$B8,FIND(", ",$B8)+1)+2,FIND(", ",$B8,FIND(", ",$B8,FIND(", ",$B8)+1)+1)-FIND(", ",$B8,FIND(", ",$B8)+1)-2),"")</f>
        <v/>
      </c>
      <c r="AO8" s="212" t="str">
        <f>IFERROR(INDEX(V!$R:$R,MATCH(AP8,V!$L:$L,0)),"")</f>
        <v/>
      </c>
      <c r="AP8" s="213" t="str">
        <f t="shared" ref="AP8:AP15" si="10">IFERROR(MID($B8,FIND(", ",$B8,FIND(", ",$B8,FIND(", ",$B8)+1)+1)+2,30000),"")</f>
        <v/>
      </c>
    </row>
    <row r="9" spans="1:42" x14ac:dyDescent="0.2">
      <c r="A9" s="333">
        <v>3</v>
      </c>
      <c r="B9" s="255" t="s">
        <v>350</v>
      </c>
      <c r="C9" s="334">
        <v>6</v>
      </c>
      <c r="D9" s="335" t="s">
        <v>222</v>
      </c>
      <c r="E9" s="336">
        <v>13</v>
      </c>
      <c r="F9" s="337" t="s">
        <v>349</v>
      </c>
      <c r="G9" s="334">
        <v>13</v>
      </c>
      <c r="H9" s="335" t="s">
        <v>222</v>
      </c>
      <c r="I9" s="336">
        <v>7</v>
      </c>
      <c r="J9" s="337" t="s">
        <v>357</v>
      </c>
      <c r="K9" s="334">
        <v>13</v>
      </c>
      <c r="L9" s="335" t="s">
        <v>222</v>
      </c>
      <c r="M9" s="336">
        <v>11</v>
      </c>
      <c r="N9" s="337" t="s">
        <v>353</v>
      </c>
      <c r="O9" s="334">
        <v>13</v>
      </c>
      <c r="P9" s="335" t="s">
        <v>222</v>
      </c>
      <c r="Q9" s="336">
        <v>12</v>
      </c>
      <c r="R9" s="337" t="s">
        <v>355</v>
      </c>
      <c r="S9" s="334"/>
      <c r="T9" s="335" t="s">
        <v>222</v>
      </c>
      <c r="U9" s="336"/>
      <c r="V9" s="337"/>
      <c r="W9" s="385">
        <f t="shared" si="0"/>
        <v>3</v>
      </c>
      <c r="X9" s="912">
        <v>12</v>
      </c>
      <c r="Y9" s="914">
        <v>60</v>
      </c>
      <c r="Z9" s="334">
        <f t="shared" si="1"/>
        <v>45</v>
      </c>
      <c r="AA9" s="335" t="s">
        <v>222</v>
      </c>
      <c r="AB9" s="340">
        <f t="shared" si="2"/>
        <v>43</v>
      </c>
      <c r="AC9" s="341">
        <f t="shared" si="3"/>
        <v>2</v>
      </c>
      <c r="AD9" s="211">
        <f t="shared" si="4"/>
        <v>213</v>
      </c>
      <c r="AE9" s="212">
        <f>IFERROR(INDEX(V!$R:$R,MATCH(AF9,V!$L:$L,0)),"")</f>
        <v>52</v>
      </c>
      <c r="AF9" s="213" t="str">
        <f t="shared" si="5"/>
        <v>Andrei Grintšak</v>
      </c>
      <c r="AG9" s="212" t="str">
        <f>IFERROR(INDEX(V!$R:$R,MATCH(AH9,V!$L:$L,0)),"")</f>
        <v/>
      </c>
      <c r="AH9" s="213" t="str">
        <f t="shared" si="6"/>
        <v>Johannes Neiland, Urmas Randlaine</v>
      </c>
      <c r="AI9" s="212">
        <f>IFERROR(INDEX(V!$R:$R,MATCH(AJ9,V!$L:$L,0)),"")</f>
        <v>27</v>
      </c>
      <c r="AJ9" s="213" t="str">
        <f t="shared" si="7"/>
        <v>Johannes Neiland</v>
      </c>
      <c r="AK9" s="212">
        <f>IFERROR(INDEX(V!$R:$R,MATCH(AL9,V!$L:$L,0)),"")</f>
        <v>134</v>
      </c>
      <c r="AL9" s="213" t="str">
        <f t="shared" si="8"/>
        <v>Urmas Randlaine</v>
      </c>
      <c r="AM9" s="212" t="str">
        <f>IFERROR(INDEX(V!$R:$R,MATCH(AN9,V!$L:$L,0)),"")</f>
        <v/>
      </c>
      <c r="AN9" s="213" t="str">
        <f t="shared" si="9"/>
        <v/>
      </c>
      <c r="AO9" s="212" t="str">
        <f>IFERROR(INDEX(V!$R:$R,MATCH(AP9,V!$L:$L,0)),"")</f>
        <v/>
      </c>
      <c r="AP9" s="213" t="str">
        <f t="shared" si="10"/>
        <v/>
      </c>
    </row>
    <row r="10" spans="1:42" x14ac:dyDescent="0.2">
      <c r="A10" s="333">
        <v>4</v>
      </c>
      <c r="B10" s="255" t="s">
        <v>351</v>
      </c>
      <c r="C10" s="334">
        <v>13</v>
      </c>
      <c r="D10" s="335" t="s">
        <v>222</v>
      </c>
      <c r="E10" s="336">
        <v>6</v>
      </c>
      <c r="F10" s="337" t="s">
        <v>352</v>
      </c>
      <c r="G10" s="334">
        <v>1</v>
      </c>
      <c r="H10" s="335" t="s">
        <v>222</v>
      </c>
      <c r="I10" s="336">
        <v>13</v>
      </c>
      <c r="J10" s="337" t="s">
        <v>349</v>
      </c>
      <c r="K10" s="334">
        <v>13</v>
      </c>
      <c r="L10" s="335" t="s">
        <v>222</v>
      </c>
      <c r="M10" s="336">
        <v>3</v>
      </c>
      <c r="N10" s="337" t="s">
        <v>355</v>
      </c>
      <c r="O10" s="334">
        <v>11</v>
      </c>
      <c r="P10" s="335" t="s">
        <v>222</v>
      </c>
      <c r="Q10" s="336">
        <v>13</v>
      </c>
      <c r="R10" s="337" t="s">
        <v>348</v>
      </c>
      <c r="S10" s="334"/>
      <c r="T10" s="335" t="s">
        <v>222</v>
      </c>
      <c r="U10" s="336"/>
      <c r="V10" s="337"/>
      <c r="W10" s="386">
        <f t="shared" si="0"/>
        <v>2</v>
      </c>
      <c r="X10" s="913">
        <v>20</v>
      </c>
      <c r="Y10" s="914">
        <v>76</v>
      </c>
      <c r="Z10" s="334">
        <f t="shared" si="1"/>
        <v>38</v>
      </c>
      <c r="AA10" s="335" t="s">
        <v>222</v>
      </c>
      <c r="AB10" s="340">
        <f t="shared" si="2"/>
        <v>35</v>
      </c>
      <c r="AC10" s="341">
        <f t="shared" si="3"/>
        <v>3</v>
      </c>
      <c r="AD10" s="211">
        <f t="shared" si="4"/>
        <v>392</v>
      </c>
      <c r="AE10" s="212">
        <f>IFERROR(INDEX(V!$R:$R,MATCH(AF10,V!$L:$L,0)),"")</f>
        <v>141</v>
      </c>
      <c r="AF10" s="213" t="str">
        <f t="shared" si="5"/>
        <v>Enn Tokman</v>
      </c>
      <c r="AG10" s="212" t="str">
        <f>IFERROR(INDEX(V!$R:$R,MATCH(AH10,V!$L:$L,0)),"")</f>
        <v/>
      </c>
      <c r="AH10" s="213" t="str">
        <f t="shared" si="6"/>
        <v>Kenneth Muusikus, Sander Rose</v>
      </c>
      <c r="AI10" s="212">
        <f>IFERROR(INDEX(V!$R:$R,MATCH(AJ10,V!$L:$L,0)),"")</f>
        <v>141</v>
      </c>
      <c r="AJ10" s="213" t="str">
        <f t="shared" si="7"/>
        <v>Kenneth Muusikus</v>
      </c>
      <c r="AK10" s="212">
        <f>IFERROR(INDEX(V!$R:$R,MATCH(AL10,V!$L:$L,0)),"")</f>
        <v>110</v>
      </c>
      <c r="AL10" s="213" t="str">
        <f t="shared" si="8"/>
        <v>Sander Rose</v>
      </c>
      <c r="AM10" s="212" t="str">
        <f>IFERROR(INDEX(V!$R:$R,MATCH(AN10,V!$L:$L,0)),"")</f>
        <v/>
      </c>
      <c r="AN10" s="213" t="str">
        <f t="shared" si="9"/>
        <v/>
      </c>
      <c r="AO10" s="212" t="str">
        <f>IFERROR(INDEX(V!$R:$R,MATCH(AP10,V!$L:$L,0)),"")</f>
        <v/>
      </c>
      <c r="AP10" s="213" t="str">
        <f t="shared" si="10"/>
        <v/>
      </c>
    </row>
    <row r="11" spans="1:42" x14ac:dyDescent="0.2">
      <c r="A11" s="333">
        <v>5</v>
      </c>
      <c r="B11" s="241" t="s">
        <v>352</v>
      </c>
      <c r="C11" s="334">
        <v>6</v>
      </c>
      <c r="D11" s="335" t="s">
        <v>222</v>
      </c>
      <c r="E11" s="336">
        <v>13</v>
      </c>
      <c r="F11" s="337" t="s">
        <v>351</v>
      </c>
      <c r="G11" s="334">
        <v>13</v>
      </c>
      <c r="H11" s="335" t="s">
        <v>222</v>
      </c>
      <c r="I11" s="336">
        <v>6</v>
      </c>
      <c r="J11" s="337" t="s">
        <v>356</v>
      </c>
      <c r="K11" s="334">
        <v>13</v>
      </c>
      <c r="L11" s="335" t="s">
        <v>222</v>
      </c>
      <c r="M11" s="336">
        <v>5</v>
      </c>
      <c r="N11" s="337" t="s">
        <v>354</v>
      </c>
      <c r="O11" s="334">
        <v>5</v>
      </c>
      <c r="P11" s="335" t="s">
        <v>222</v>
      </c>
      <c r="Q11" s="336">
        <v>13</v>
      </c>
      <c r="R11" s="337" t="s">
        <v>349</v>
      </c>
      <c r="S11" s="334"/>
      <c r="T11" s="335" t="s">
        <v>222</v>
      </c>
      <c r="U11" s="336"/>
      <c r="V11" s="337"/>
      <c r="W11" s="386">
        <f t="shared" si="0"/>
        <v>2</v>
      </c>
      <c r="X11" s="913">
        <v>16</v>
      </c>
      <c r="Y11" s="915">
        <v>62</v>
      </c>
      <c r="Z11" s="334">
        <f t="shared" si="1"/>
        <v>37</v>
      </c>
      <c r="AA11" s="335" t="s">
        <v>222</v>
      </c>
      <c r="AB11" s="340">
        <f t="shared" si="2"/>
        <v>37</v>
      </c>
      <c r="AC11" s="341">
        <f t="shared" si="3"/>
        <v>0</v>
      </c>
      <c r="AD11" s="211">
        <f t="shared" si="4"/>
        <v>169</v>
      </c>
      <c r="AE11" s="212">
        <f>IFERROR(INDEX(V!$R:$R,MATCH(AF11,V!$L:$L,0)),"")</f>
        <v>23</v>
      </c>
      <c r="AF11" s="213" t="str">
        <f t="shared" si="5"/>
        <v>Aarne Välja</v>
      </c>
      <c r="AG11" s="212" t="str">
        <f>IFERROR(INDEX(V!$R:$R,MATCH(AH11,V!$L:$L,0)),"")</f>
        <v/>
      </c>
      <c r="AH11" s="213" t="str">
        <f t="shared" si="6"/>
        <v>Jaan Sepp, Oskar Sepp</v>
      </c>
      <c r="AI11" s="212">
        <f>IFERROR(INDEX(V!$R:$R,MATCH(AJ11,V!$L:$L,0)),"")</f>
        <v>73</v>
      </c>
      <c r="AJ11" s="213" t="str">
        <f t="shared" si="7"/>
        <v>Jaan Sepp</v>
      </c>
      <c r="AK11" s="212">
        <f>IFERROR(INDEX(V!$R:$R,MATCH(AL11,V!$L:$L,0)),"")</f>
        <v>73</v>
      </c>
      <c r="AL11" s="213" t="str">
        <f t="shared" si="8"/>
        <v>Oskar Sepp</v>
      </c>
      <c r="AM11" s="212" t="str">
        <f>IFERROR(INDEX(V!$R:$R,MATCH(AN11,V!$L:$L,0)),"")</f>
        <v/>
      </c>
      <c r="AN11" s="213" t="str">
        <f t="shared" si="9"/>
        <v/>
      </c>
      <c r="AO11" s="212" t="str">
        <f>IFERROR(INDEX(V!$R:$R,MATCH(AP11,V!$L:$L,0)),"")</f>
        <v/>
      </c>
      <c r="AP11" s="213" t="str">
        <f t="shared" si="10"/>
        <v/>
      </c>
    </row>
    <row r="12" spans="1:42" ht="25.5" x14ac:dyDescent="0.2">
      <c r="A12" s="333">
        <v>6</v>
      </c>
      <c r="B12" s="255" t="s">
        <v>353</v>
      </c>
      <c r="C12" s="334">
        <v>13</v>
      </c>
      <c r="D12" s="335" t="s">
        <v>222</v>
      </c>
      <c r="E12" s="336">
        <v>7</v>
      </c>
      <c r="F12" s="337" t="s">
        <v>357</v>
      </c>
      <c r="G12" s="334">
        <v>8</v>
      </c>
      <c r="H12" s="335" t="s">
        <v>222</v>
      </c>
      <c r="I12" s="336">
        <v>13</v>
      </c>
      <c r="J12" s="337" t="s">
        <v>348</v>
      </c>
      <c r="K12" s="334">
        <v>11</v>
      </c>
      <c r="L12" s="335" t="s">
        <v>222</v>
      </c>
      <c r="M12" s="336">
        <v>13</v>
      </c>
      <c r="N12" s="337" t="s">
        <v>350</v>
      </c>
      <c r="O12" s="334">
        <v>13</v>
      </c>
      <c r="P12" s="335" t="s">
        <v>222</v>
      </c>
      <c r="Q12" s="336">
        <v>12</v>
      </c>
      <c r="R12" s="337" t="s">
        <v>356</v>
      </c>
      <c r="S12" s="334"/>
      <c r="T12" s="335" t="s">
        <v>222</v>
      </c>
      <c r="U12" s="336"/>
      <c r="V12" s="337"/>
      <c r="W12" s="386">
        <f t="shared" si="0"/>
        <v>2</v>
      </c>
      <c r="X12" s="913">
        <v>16</v>
      </c>
      <c r="Y12" s="915">
        <v>40</v>
      </c>
      <c r="Z12" s="334">
        <f t="shared" si="1"/>
        <v>45</v>
      </c>
      <c r="AA12" s="335" t="s">
        <v>222</v>
      </c>
      <c r="AB12" s="340">
        <f t="shared" si="2"/>
        <v>45</v>
      </c>
      <c r="AC12" s="341">
        <f t="shared" si="3"/>
        <v>0</v>
      </c>
      <c r="AD12" s="211">
        <f t="shared" ref="AD12:AD13" si="11">SUM(AE12:AL12)</f>
        <v>283</v>
      </c>
      <c r="AE12" s="212">
        <f>IFERROR(INDEX(V!$R:$R,MATCH(AF12,V!$L:$L,0)),"")</f>
        <v>115</v>
      </c>
      <c r="AF12" s="213" t="str">
        <f t="shared" si="5"/>
        <v>Oksana Rõndenkova</v>
      </c>
      <c r="AG12" s="212" t="str">
        <f>IFERROR(INDEX(V!$R:$R,MATCH(AH12,V!$L:$L,0)),"")</f>
        <v/>
      </c>
      <c r="AH12" s="213" t="str">
        <f t="shared" si="6"/>
        <v>Oleg Rõndenkov, Aleksander Korikov</v>
      </c>
      <c r="AI12" s="212">
        <f>IFERROR(INDEX(V!$R:$R,MATCH(AJ12,V!$L:$L,0)),"")</f>
        <v>117</v>
      </c>
      <c r="AJ12" s="213" t="str">
        <f t="shared" si="7"/>
        <v>Oleg Rõndenkov</v>
      </c>
      <c r="AK12" s="212">
        <f>IFERROR(INDEX(V!$R:$R,MATCH(AL12,V!$L:$L,0)),"")</f>
        <v>51</v>
      </c>
      <c r="AL12" s="213" t="str">
        <f t="shared" si="8"/>
        <v>Aleksander Korikov</v>
      </c>
      <c r="AM12" s="212" t="str">
        <f>IFERROR(INDEX(V!$R:$R,MATCH(AN12,V!$L:$L,0)),"")</f>
        <v/>
      </c>
      <c r="AN12" s="213" t="str">
        <f t="shared" si="9"/>
        <v/>
      </c>
      <c r="AO12" s="212" t="str">
        <f>IFERROR(INDEX(V!$R:$R,MATCH(AP12,V!$L:$L,0)),"")</f>
        <v/>
      </c>
      <c r="AP12" s="213" t="str">
        <f t="shared" si="10"/>
        <v/>
      </c>
    </row>
    <row r="13" spans="1:42" x14ac:dyDescent="0.2">
      <c r="A13" s="333">
        <v>7</v>
      </c>
      <c r="B13" s="342" t="s">
        <v>354</v>
      </c>
      <c r="C13" s="334">
        <v>13</v>
      </c>
      <c r="D13" s="335" t="s">
        <v>222</v>
      </c>
      <c r="E13" s="336">
        <v>11</v>
      </c>
      <c r="F13" s="337" t="s">
        <v>356</v>
      </c>
      <c r="G13" s="334">
        <v>12</v>
      </c>
      <c r="H13" s="335" t="s">
        <v>222</v>
      </c>
      <c r="I13" s="336">
        <v>13</v>
      </c>
      <c r="J13" s="337" t="s">
        <v>355</v>
      </c>
      <c r="K13" s="334">
        <v>5</v>
      </c>
      <c r="L13" s="335" t="s">
        <v>222</v>
      </c>
      <c r="M13" s="336">
        <v>13</v>
      </c>
      <c r="N13" s="337" t="s">
        <v>352</v>
      </c>
      <c r="O13" s="334">
        <v>13</v>
      </c>
      <c r="P13" s="335" t="s">
        <v>222</v>
      </c>
      <c r="Q13" s="336">
        <v>7</v>
      </c>
      <c r="R13" s="337" t="s">
        <v>357</v>
      </c>
      <c r="S13" s="334"/>
      <c r="T13" s="335" t="s">
        <v>222</v>
      </c>
      <c r="U13" s="336"/>
      <c r="V13" s="337"/>
      <c r="W13" s="386">
        <f t="shared" si="0"/>
        <v>2</v>
      </c>
      <c r="X13" s="913">
        <v>8</v>
      </c>
      <c r="Y13" s="914">
        <v>50</v>
      </c>
      <c r="Z13" s="334">
        <f t="shared" si="1"/>
        <v>43</v>
      </c>
      <c r="AA13" s="335" t="s">
        <v>222</v>
      </c>
      <c r="AB13" s="340">
        <f t="shared" si="2"/>
        <v>44</v>
      </c>
      <c r="AC13" s="341">
        <f t="shared" si="3"/>
        <v>-1</v>
      </c>
      <c r="AD13" s="211">
        <f t="shared" si="11"/>
        <v>183</v>
      </c>
      <c r="AE13" s="212">
        <f>IFERROR(INDEX(V!$R:$R,MATCH(AF13,V!$L:$L,0)),"")</f>
        <v>25</v>
      </c>
      <c r="AF13" s="213" t="str">
        <f t="shared" si="5"/>
        <v>Airi Veski</v>
      </c>
      <c r="AG13" s="212" t="str">
        <f>IFERROR(INDEX(V!$R:$R,MATCH(AH13,V!$L:$L,0)),"")</f>
        <v/>
      </c>
      <c r="AH13" s="213" t="str">
        <f t="shared" si="6"/>
        <v>Sirje Maala, Svetlana Veski</v>
      </c>
      <c r="AI13" s="212">
        <f>IFERROR(INDEX(V!$R:$R,MATCH(AJ13,V!$L:$L,0)),"")</f>
        <v>103</v>
      </c>
      <c r="AJ13" s="213" t="str">
        <f t="shared" si="7"/>
        <v>Sirje Maala</v>
      </c>
      <c r="AK13" s="212">
        <f>IFERROR(INDEX(V!$R:$R,MATCH(AL13,V!$L:$L,0)),"")</f>
        <v>55</v>
      </c>
      <c r="AL13" s="213" t="str">
        <f t="shared" si="8"/>
        <v>Svetlana Veski</v>
      </c>
      <c r="AM13" s="212" t="str">
        <f>IFERROR(INDEX(V!$R:$R,MATCH(AN13,V!$L:$L,0)),"")</f>
        <v/>
      </c>
      <c r="AN13" s="213" t="str">
        <f t="shared" si="9"/>
        <v/>
      </c>
      <c r="AO13" s="212" t="str">
        <f>IFERROR(INDEX(V!$R:$R,MATCH(AP13,V!$L:$L,0)),"")</f>
        <v/>
      </c>
      <c r="AP13" s="213" t="str">
        <f t="shared" si="10"/>
        <v/>
      </c>
    </row>
    <row r="14" spans="1:42" x14ac:dyDescent="0.2">
      <c r="A14" s="333">
        <v>8</v>
      </c>
      <c r="B14" s="255" t="s">
        <v>355</v>
      </c>
      <c r="C14" s="334">
        <v>10</v>
      </c>
      <c r="D14" s="335" t="s">
        <v>222</v>
      </c>
      <c r="E14" s="336">
        <v>13</v>
      </c>
      <c r="F14" s="337" t="s">
        <v>348</v>
      </c>
      <c r="G14" s="334">
        <v>13</v>
      </c>
      <c r="H14" s="335" t="s">
        <v>222</v>
      </c>
      <c r="I14" s="336">
        <v>12</v>
      </c>
      <c r="J14" s="337" t="s">
        <v>354</v>
      </c>
      <c r="K14" s="334">
        <v>3</v>
      </c>
      <c r="L14" s="335" t="s">
        <v>222</v>
      </c>
      <c r="M14" s="336">
        <v>13</v>
      </c>
      <c r="N14" s="337" t="s">
        <v>351</v>
      </c>
      <c r="O14" s="334">
        <v>12</v>
      </c>
      <c r="P14" s="335" t="s">
        <v>222</v>
      </c>
      <c r="Q14" s="336">
        <v>13</v>
      </c>
      <c r="R14" s="337" t="s">
        <v>350</v>
      </c>
      <c r="S14" s="334"/>
      <c r="T14" s="335" t="s">
        <v>222</v>
      </c>
      <c r="U14" s="336"/>
      <c r="V14" s="337"/>
      <c r="W14" s="385">
        <f t="shared" si="0"/>
        <v>1</v>
      </c>
      <c r="X14" s="912">
        <v>22</v>
      </c>
      <c r="Y14" s="914">
        <v>56</v>
      </c>
      <c r="Z14" s="334">
        <f t="shared" si="1"/>
        <v>38</v>
      </c>
      <c r="AA14" s="335" t="s">
        <v>222</v>
      </c>
      <c r="AB14" s="340">
        <f t="shared" si="2"/>
        <v>51</v>
      </c>
      <c r="AC14" s="341">
        <f t="shared" si="3"/>
        <v>-13</v>
      </c>
      <c r="AD14" s="211">
        <f t="shared" ref="AD14:AD15" si="12">SUM(AE14:AL14)</f>
        <v>124</v>
      </c>
      <c r="AE14" s="212">
        <f>IFERROR(INDEX(V!$R:$R,MATCH(AF14,V!$L:$L,0)),"")</f>
        <v>53</v>
      </c>
      <c r="AF14" s="213" t="str">
        <f t="shared" si="5"/>
        <v>Lemmit Toomra</v>
      </c>
      <c r="AG14" s="212" t="str">
        <f>IFERROR(INDEX(V!$R:$R,MATCH(AH14,V!$L:$L,0)),"")</f>
        <v/>
      </c>
      <c r="AH14" s="213" t="str">
        <f t="shared" si="6"/>
        <v>Liidia Põllu, Tõnu Kapper</v>
      </c>
      <c r="AI14" s="212">
        <f>IFERROR(INDEX(V!$R:$R,MATCH(AJ14,V!$L:$L,0)),"")</f>
        <v>18</v>
      </c>
      <c r="AJ14" s="213" t="str">
        <f t="shared" si="7"/>
        <v>Liidia Põllu</v>
      </c>
      <c r="AK14" s="212">
        <f>IFERROR(INDEX(V!$R:$R,MATCH(AL14,V!$L:$L,0)),"")</f>
        <v>53</v>
      </c>
      <c r="AL14" s="213" t="str">
        <f t="shared" si="8"/>
        <v>Tõnu Kapper</v>
      </c>
      <c r="AM14" s="212" t="str">
        <f>IFERROR(INDEX(V!$R:$R,MATCH(AN14,V!$L:$L,0)),"")</f>
        <v/>
      </c>
      <c r="AN14" s="213" t="str">
        <f t="shared" si="9"/>
        <v/>
      </c>
      <c r="AO14" s="212" t="str">
        <f>IFERROR(INDEX(V!$R:$R,MATCH(AP14,V!$L:$L,0)),"")</f>
        <v/>
      </c>
      <c r="AP14" s="213" t="str">
        <f t="shared" si="10"/>
        <v/>
      </c>
    </row>
    <row r="15" spans="1:42" x14ac:dyDescent="0.2">
      <c r="A15" s="333">
        <v>9</v>
      </c>
      <c r="B15" s="255" t="s">
        <v>356</v>
      </c>
      <c r="C15" s="334">
        <v>11</v>
      </c>
      <c r="D15" s="335" t="s">
        <v>222</v>
      </c>
      <c r="E15" s="336">
        <v>13</v>
      </c>
      <c r="F15" s="337" t="s">
        <v>354</v>
      </c>
      <c r="G15" s="334">
        <v>6</v>
      </c>
      <c r="H15" s="335" t="s">
        <v>222</v>
      </c>
      <c r="I15" s="336">
        <v>13</v>
      </c>
      <c r="J15" s="337" t="s">
        <v>352</v>
      </c>
      <c r="K15" s="334">
        <v>13</v>
      </c>
      <c r="L15" s="335" t="s">
        <v>222</v>
      </c>
      <c r="M15" s="336">
        <v>7</v>
      </c>
      <c r="N15" s="337" t="s">
        <v>357</v>
      </c>
      <c r="O15" s="334">
        <v>12</v>
      </c>
      <c r="P15" s="335" t="s">
        <v>222</v>
      </c>
      <c r="Q15" s="336">
        <v>13</v>
      </c>
      <c r="R15" s="337" t="s">
        <v>353</v>
      </c>
      <c r="S15" s="334"/>
      <c r="T15" s="335" t="s">
        <v>222</v>
      </c>
      <c r="U15" s="336"/>
      <c r="V15" s="337"/>
      <c r="W15" s="385">
        <f t="shared" si="0"/>
        <v>1</v>
      </c>
      <c r="X15" s="912">
        <v>12</v>
      </c>
      <c r="Y15" s="358">
        <v>40</v>
      </c>
      <c r="Z15" s="334">
        <f t="shared" si="1"/>
        <v>42</v>
      </c>
      <c r="AA15" s="335" t="s">
        <v>222</v>
      </c>
      <c r="AB15" s="340">
        <f t="shared" si="2"/>
        <v>46</v>
      </c>
      <c r="AC15" s="341">
        <f t="shared" si="3"/>
        <v>-4</v>
      </c>
      <c r="AD15" s="211">
        <f t="shared" si="12"/>
        <v>214</v>
      </c>
      <c r="AE15" s="212">
        <f>IFERROR(INDEX(V!$R:$R,MATCH(AF15,V!$L:$L,0)),"")</f>
        <v>143</v>
      </c>
      <c r="AF15" s="213" t="str">
        <f t="shared" si="5"/>
        <v>Jaan Saar</v>
      </c>
      <c r="AG15" s="212" t="str">
        <f>IFERROR(INDEX(V!$R:$R,MATCH(AH15,V!$L:$L,0)),"")</f>
        <v/>
      </c>
      <c r="AH15" s="213" t="str">
        <f t="shared" si="6"/>
        <v>Ljudmila Varendi, Viktor Švarõgin</v>
      </c>
      <c r="AI15" s="212">
        <f>IFERROR(INDEX(V!$R:$R,MATCH(AJ15,V!$L:$L,0)),"")</f>
        <v>31</v>
      </c>
      <c r="AJ15" s="213" t="str">
        <f t="shared" si="7"/>
        <v>Ljudmila Varendi</v>
      </c>
      <c r="AK15" s="212">
        <f>IFERROR(INDEX(V!$R:$R,MATCH(AL15,V!$L:$L,0)),"")</f>
        <v>40</v>
      </c>
      <c r="AL15" s="213" t="str">
        <f t="shared" si="8"/>
        <v>Viktor Švarõgin</v>
      </c>
      <c r="AM15" s="212" t="str">
        <f>IFERROR(INDEX(V!$R:$R,MATCH(AN15,V!$L:$L,0)),"")</f>
        <v/>
      </c>
      <c r="AN15" s="213" t="str">
        <f t="shared" si="9"/>
        <v/>
      </c>
      <c r="AO15" s="212" t="str">
        <f>IFERROR(INDEX(V!$R:$R,MATCH(AP15,V!$L:$L,0)),"")</f>
        <v/>
      </c>
      <c r="AP15" s="213" t="str">
        <f t="shared" si="10"/>
        <v/>
      </c>
    </row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" hidden="1" x14ac:dyDescent="0.2"/>
    <row r="290" spans="1:3" hidden="1" x14ac:dyDescent="0.2"/>
    <row r="291" spans="1:3" hidden="1" x14ac:dyDescent="0.2"/>
    <row r="292" spans="1:3" hidden="1" x14ac:dyDescent="0.2"/>
    <row r="293" spans="1:3" hidden="1" x14ac:dyDescent="0.2"/>
    <row r="294" spans="1:3" hidden="1" x14ac:dyDescent="0.2"/>
    <row r="295" spans="1:3" hidden="1" x14ac:dyDescent="0.2"/>
    <row r="296" spans="1:3" hidden="1" x14ac:dyDescent="0.2"/>
    <row r="297" spans="1:3" hidden="1" x14ac:dyDescent="0.2"/>
    <row r="298" spans="1:3" hidden="1" x14ac:dyDescent="0.2"/>
    <row r="299" spans="1:3" x14ac:dyDescent="0.2">
      <c r="A299" s="157"/>
      <c r="B299" s="157"/>
      <c r="C299" s="207" t="s">
        <v>190</v>
      </c>
    </row>
    <row r="300" spans="1:3" x14ac:dyDescent="0.2">
      <c r="A300" s="301">
        <v>1</v>
      </c>
      <c r="B300" s="344" t="str">
        <f>IFERROR(INDEX(B$1:B$100,MATCH(A300,A$1:A$100,0)),"")</f>
        <v>Henri Mitt, Hillar Neiland, Tõnis Neiland</v>
      </c>
      <c r="C300" s="274">
        <f t="shared" ref="C300:C308" si="13">LARGE(A300:A399,1)*3+3-A300*3</f>
        <v>27</v>
      </c>
    </row>
    <row r="301" spans="1:3" x14ac:dyDescent="0.2">
      <c r="A301" s="301">
        <v>2</v>
      </c>
      <c r="B301" s="344" t="str">
        <f t="shared" ref="B301:B308" si="14">IFERROR(INDEX(B$1:B$100,MATCH(A301,A$1:A$100,0)),"")</f>
        <v>Kaspar Mänd, Matti Vinni, Olav Türk</v>
      </c>
      <c r="C301" s="274">
        <f t="shared" si="13"/>
        <v>24</v>
      </c>
    </row>
    <row r="302" spans="1:3" x14ac:dyDescent="0.2">
      <c r="A302" s="301">
        <v>3</v>
      </c>
      <c r="B302" s="344" t="str">
        <f t="shared" si="14"/>
        <v>Andrei Grintšak, Johannes Neiland, Urmas Randlaine</v>
      </c>
      <c r="C302" s="274">
        <f t="shared" si="13"/>
        <v>21</v>
      </c>
    </row>
    <row r="303" spans="1:3" x14ac:dyDescent="0.2">
      <c r="A303" s="301">
        <v>4</v>
      </c>
      <c r="B303" s="344" t="str">
        <f t="shared" si="14"/>
        <v>Enn Tokman, Kenneth Muusikus, Sander Rose</v>
      </c>
      <c r="C303" s="274">
        <f t="shared" si="13"/>
        <v>18</v>
      </c>
    </row>
    <row r="304" spans="1:3" x14ac:dyDescent="0.2">
      <c r="A304" s="301">
        <v>5</v>
      </c>
      <c r="B304" s="344" t="str">
        <f t="shared" si="14"/>
        <v>Aarne Välja, Jaan Sepp, Oskar Sepp</v>
      </c>
      <c r="C304" s="274">
        <f t="shared" si="13"/>
        <v>15</v>
      </c>
    </row>
    <row r="305" spans="1:3" ht="25.5" x14ac:dyDescent="0.2">
      <c r="A305" s="301">
        <v>6</v>
      </c>
      <c r="B305" s="344" t="str">
        <f t="shared" si="14"/>
        <v>Oksana Rõndenkova, Oleg Rõndenkov, Aleksander Korikov</v>
      </c>
      <c r="C305" s="274">
        <f t="shared" si="13"/>
        <v>12</v>
      </c>
    </row>
    <row r="306" spans="1:3" x14ac:dyDescent="0.2">
      <c r="A306" s="301">
        <v>7</v>
      </c>
      <c r="B306" s="344" t="str">
        <f t="shared" si="14"/>
        <v>Airi Veski, Sirje Maala, Svetlana Veski</v>
      </c>
      <c r="C306" s="274">
        <f t="shared" si="13"/>
        <v>9</v>
      </c>
    </row>
    <row r="307" spans="1:3" x14ac:dyDescent="0.2">
      <c r="A307" s="301">
        <v>8</v>
      </c>
      <c r="B307" s="344" t="str">
        <f t="shared" si="14"/>
        <v>Lemmit Toomra, Liidia Põllu, Tõnu Kapper</v>
      </c>
      <c r="C307" s="274">
        <f t="shared" si="13"/>
        <v>6</v>
      </c>
    </row>
    <row r="308" spans="1:3" x14ac:dyDescent="0.2">
      <c r="A308" s="301">
        <v>9</v>
      </c>
      <c r="B308" s="344" t="str">
        <f t="shared" si="14"/>
        <v>Jaan Saar, Ljudmila Varendi, Viktor Švarõgin</v>
      </c>
      <c r="C308" s="274">
        <f t="shared" si="13"/>
        <v>3</v>
      </c>
    </row>
  </sheetData>
  <conditionalFormatting sqref="C7:C15 G7:G15 K7:K15 O7:O15 S7:S15">
    <cfRule type="expression" dxfId="413" priority="12">
      <formula>AND(C7=0,E7=13)</formula>
    </cfRule>
  </conditionalFormatting>
  <conditionalFormatting sqref="C7:C15">
    <cfRule type="expression" dxfId="412" priority="26">
      <formula>IF($C7&gt;$E7,TRUE)</formula>
    </cfRule>
  </conditionalFormatting>
  <conditionalFormatting sqref="E7:E15">
    <cfRule type="expression" dxfId="411" priority="27">
      <formula>IF($C7&lt;$E7,TRUE)</formula>
    </cfRule>
  </conditionalFormatting>
  <conditionalFormatting sqref="K7:K15">
    <cfRule type="expression" dxfId="410" priority="34">
      <formula>IF($K7&gt;$M7,TRUE)</formula>
    </cfRule>
  </conditionalFormatting>
  <conditionalFormatting sqref="M7:M15">
    <cfRule type="expression" dxfId="409" priority="35">
      <formula>IF($K7&lt;$M7,TRUE)</formula>
    </cfRule>
  </conditionalFormatting>
  <conditionalFormatting sqref="O7:O15">
    <cfRule type="expression" dxfId="408" priority="38">
      <formula>IF($O7&gt;$Q7,TRUE)</formula>
    </cfRule>
  </conditionalFormatting>
  <conditionalFormatting sqref="Q7:Q15">
    <cfRule type="expression" dxfId="407" priority="39">
      <formula>IF($O7&lt;$Q7,TRUE)</formula>
    </cfRule>
  </conditionalFormatting>
  <conditionalFormatting sqref="S7:S15">
    <cfRule type="expression" dxfId="406" priority="42">
      <formula>IF($S7&gt;$U7,TRUE)</formula>
    </cfRule>
  </conditionalFormatting>
  <conditionalFormatting sqref="U7:U15">
    <cfRule type="expression" dxfId="405" priority="43">
      <formula>IF($S7&lt;$U7,TRUE)</formula>
    </cfRule>
  </conditionalFormatting>
  <conditionalFormatting sqref="G7:G15">
    <cfRule type="expression" dxfId="404" priority="30">
      <formula>IF($G7&gt;$I7,TRUE)</formula>
    </cfRule>
  </conditionalFormatting>
  <conditionalFormatting sqref="I7:I15">
    <cfRule type="expression" dxfId="403" priority="31">
      <formula>IF($G7&lt;$I7,TRUE)</formula>
    </cfRule>
  </conditionalFormatting>
  <conditionalFormatting sqref="F7:F15">
    <cfRule type="containsText" dxfId="402" priority="17" operator="containsText" text="vaba voor">
      <formula>NOT(ISERROR(SEARCH("vaba voor",F7)))</formula>
    </cfRule>
  </conditionalFormatting>
  <conditionalFormatting sqref="N7:N15">
    <cfRule type="containsText" dxfId="401" priority="15" operator="containsText" text="vaba voor">
      <formula>NOT(ISERROR(SEARCH("vaba voor",N7)))</formula>
    </cfRule>
  </conditionalFormatting>
  <conditionalFormatting sqref="R7:R15">
    <cfRule type="containsText" dxfId="400" priority="18" operator="containsText" text="vaba voor">
      <formula>NOT(ISERROR(SEARCH("vaba voor",R7)))</formula>
    </cfRule>
  </conditionalFormatting>
  <conditionalFormatting sqref="V7:V15">
    <cfRule type="containsText" dxfId="399" priority="14" operator="containsText" text="vaba voor">
      <formula>NOT(ISERROR(SEARCH("vaba voor",V7)))</formula>
    </cfRule>
  </conditionalFormatting>
  <conditionalFormatting sqref="J7:J15">
    <cfRule type="containsText" dxfId="398" priority="16" operator="containsText" text="vaba voor">
      <formula>NOT(ISERROR(SEARCH("vaba voor",J7)))</formula>
    </cfRule>
  </conditionalFormatting>
  <conditionalFormatting sqref="C7:F15">
    <cfRule type="expression" dxfId="397" priority="22">
      <formula>IF(AND(ISNUMBER($C7),$C7=$E7),TRUE)</formula>
    </cfRule>
    <cfRule type="expression" dxfId="396" priority="24">
      <formula>IF($C7&gt;$E7,TRUE)</formula>
    </cfRule>
    <cfRule type="expression" dxfId="395" priority="25">
      <formula>IF($C7&lt;$E7,TRUE)</formula>
    </cfRule>
  </conditionalFormatting>
  <conditionalFormatting sqref="G7:J15">
    <cfRule type="expression" dxfId="394" priority="23">
      <formula>IF(AND(ISNUMBER($G7),$G7=$I7),TRUE)</formula>
    </cfRule>
    <cfRule type="expression" dxfId="393" priority="28">
      <formula>IF($G7&gt;$I7,TRUE)</formula>
    </cfRule>
    <cfRule type="expression" dxfId="392" priority="29">
      <formula>IF($G7&lt;$I7,TRUE)</formula>
    </cfRule>
  </conditionalFormatting>
  <conditionalFormatting sqref="K7:N15">
    <cfRule type="expression" dxfId="391" priority="21">
      <formula>IF(AND(ISNUMBER($K7),$K7=$M7),TRUE)</formula>
    </cfRule>
    <cfRule type="expression" dxfId="390" priority="32">
      <formula>IF($K7&gt;$M7,TRUE)</formula>
    </cfRule>
    <cfRule type="expression" dxfId="389" priority="33">
      <formula>IF($K7&lt;$M7,TRUE)</formula>
    </cfRule>
  </conditionalFormatting>
  <conditionalFormatting sqref="O7:R15">
    <cfRule type="expression" dxfId="388" priority="20">
      <formula>IF(AND(ISNUMBER($O7),$O7=$Q7),TRUE)</formula>
    </cfRule>
    <cfRule type="expression" dxfId="387" priority="36">
      <formula>IF($O7&gt;$Q7,TRUE)</formula>
    </cfRule>
    <cfRule type="expression" dxfId="386" priority="37">
      <formula>IF($O7&lt;$Q7,TRUE)</formula>
    </cfRule>
  </conditionalFormatting>
  <conditionalFormatting sqref="S7:V15">
    <cfRule type="expression" dxfId="385" priority="19">
      <formula>IF(AND(ISNUMBER($S7),$S7=$U7),TRUE)</formula>
    </cfRule>
    <cfRule type="expression" dxfId="384" priority="40">
      <formula>IF($S7&gt;$U7,TRUE)</formula>
    </cfRule>
    <cfRule type="expression" dxfId="383" priority="41">
      <formula>IF($S7&lt;$U7,TRUE)</formula>
    </cfRule>
  </conditionalFormatting>
  <conditionalFormatting sqref="E7:E15 I7:I15 M7:M15 Q7:Q15 U7:U15">
    <cfRule type="expression" dxfId="382" priority="13">
      <formula>AND(E7=0,C7=13)</formula>
    </cfRule>
  </conditionalFormatting>
  <conditionalFormatting sqref="A7:A15">
    <cfRule type="duplicateValues" dxfId="381" priority="44"/>
  </conditionalFormatting>
  <conditionalFormatting sqref="AJ7:AJ15">
    <cfRule type="expression" dxfId="380" priority="5">
      <formula>AND(AI7="",FIND(",",AJ7))</formula>
    </cfRule>
    <cfRule type="expression" dxfId="379" priority="7">
      <formula>AND(AI7="",COUNTIF(AJ7,"*,*")=0)</formula>
    </cfRule>
  </conditionalFormatting>
  <conditionalFormatting sqref="AH7:AH15">
    <cfRule type="expression" dxfId="378" priority="8">
      <formula>AND(AG7="",FIND(",",AH7))</formula>
    </cfRule>
    <cfRule type="expression" dxfId="377" priority="9">
      <formula>AND(AG7="",COUNTIF(AH7,"*,*")=0)</formula>
    </cfRule>
  </conditionalFormatting>
  <conditionalFormatting sqref="AL7:AL15">
    <cfRule type="expression" dxfId="376" priority="10">
      <formula>AND(AK7="",FIND(",",AL7))</formula>
    </cfRule>
    <cfRule type="expression" dxfId="375" priority="11">
      <formula>AND(AK7="",COUNTIF(AL7,"*,*")=0)</formula>
    </cfRule>
  </conditionalFormatting>
  <conditionalFormatting sqref="AF7:AF15">
    <cfRule type="expression" dxfId="374" priority="6">
      <formula>AND(AE7="",COUNTIF(AF7,"*,*")=0)</formula>
    </cfRule>
  </conditionalFormatting>
  <conditionalFormatting sqref="AN7:AN15">
    <cfRule type="expression" dxfId="373" priority="2">
      <formula>AND(AM7="",COUNTIF(AN7,"*,*")=0)</formula>
    </cfRule>
    <cfRule type="expression" dxfId="372" priority="4">
      <formula>AND(AM7="",FIND(",",AN7))</formula>
    </cfRule>
  </conditionalFormatting>
  <conditionalFormatting sqref="AP7:AP15">
    <cfRule type="expression" dxfId="371" priority="1">
      <formula>AND(AO7="",COUNTIF(AP7,"*,*")=0)</formula>
    </cfRule>
    <cfRule type="expression" dxfId="370" priority="3">
      <formula>AND(AO7="",FIND(",",AP7))</formula>
    </cfRule>
  </conditionalFormatting>
  <conditionalFormatting sqref="B300:B308">
    <cfRule type="expression" dxfId="369" priority="1216">
      <formula>A300=3</formula>
    </cfRule>
    <cfRule type="expression" dxfId="368" priority="1217">
      <formula>A300=2</formula>
    </cfRule>
    <cfRule type="expression" dxfId="367" priority="1218">
      <formula>A300=1</formula>
    </cfRule>
    <cfRule type="containsBlanks" dxfId="366" priority="1219">
      <formula>LEN(TRIM(B300))=0</formula>
    </cfRule>
    <cfRule type="duplicateValues" dxfId="365" priority="1220"/>
  </conditionalFormatting>
  <pageMargins left="0.39370078740157483" right="0.27559055118110237" top="0.78740157480314965" bottom="0.39370078740157483" header="0.78740157480314965" footer="0"/>
  <pageSetup paperSize="9" scale="99" fitToHeight="0" orientation="landscape" verticalDpi="1200" r:id="rId1"/>
  <headerFooter>
    <oddHeader>&amp;R&amp;P. leht &amp;N&amp; -st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12"/>
  <sheetViews>
    <sheetView showGridLines="0" showRowColHeaders="0" workbookViewId="0">
      <pane ySplit="1" topLeftCell="A2" activePane="bottomLeft" state="frozen"/>
      <selection pane="bottomLeft" activeCell="A5" sqref="A5"/>
    </sheetView>
  </sheetViews>
  <sheetFormatPr defaultRowHeight="12.75" x14ac:dyDescent="0.2"/>
  <cols>
    <col min="1" max="1" width="3.28515625" style="1" customWidth="1"/>
    <col min="2" max="2" width="33.28515625" style="1" bestFit="1" customWidth="1"/>
    <col min="3" max="3" width="4.7109375" style="1" customWidth="1"/>
    <col min="4" max="4" width="1.140625" style="1" customWidth="1"/>
    <col min="5" max="5" width="2.7109375" style="1" customWidth="1"/>
    <col min="6" max="6" width="9.140625" style="1"/>
    <col min="7" max="7" width="2.7109375" style="1" customWidth="1"/>
    <col min="8" max="8" width="1.140625" style="1" customWidth="1"/>
    <col min="9" max="9" width="2.7109375" style="1" customWidth="1"/>
    <col min="10" max="10" width="9.140625" style="1"/>
    <col min="11" max="11" width="2.7109375" style="1" customWidth="1"/>
    <col min="12" max="12" width="1.140625" style="1" customWidth="1"/>
    <col min="13" max="13" width="2.7109375" style="1" customWidth="1"/>
    <col min="14" max="14" width="9.140625" style="1"/>
    <col min="15" max="15" width="2.7109375" style="1" customWidth="1"/>
    <col min="16" max="16" width="1.140625" style="1" customWidth="1"/>
    <col min="17" max="17" width="2.7109375" style="1" customWidth="1"/>
    <col min="18" max="18" width="9.140625" style="1"/>
    <col min="19" max="19" width="2.7109375" style="1" hidden="1" customWidth="1"/>
    <col min="20" max="20" width="1.140625" style="1" hidden="1" customWidth="1"/>
    <col min="21" max="21" width="2.7109375" style="1" hidden="1" customWidth="1"/>
    <col min="22" max="22" width="0" style="1" hidden="1" customWidth="1"/>
    <col min="23" max="23" width="5.7109375" style="1" bestFit="1" customWidth="1"/>
    <col min="24" max="24" width="5.5703125" style="1" customWidth="1"/>
    <col min="25" max="25" width="6.85546875" style="1" bestFit="1" customWidth="1"/>
    <col min="26" max="26" width="2.7109375" style="1" customWidth="1"/>
    <col min="27" max="27" width="1.140625" style="1" customWidth="1"/>
    <col min="28" max="28" width="2.7109375" style="1" customWidth="1"/>
    <col min="29" max="29" width="4.140625" style="1" bestFit="1" customWidth="1"/>
    <col min="30" max="31" width="9.140625" style="1" hidden="1" customWidth="1"/>
    <col min="32" max="32" width="18.28515625" style="1" hidden="1" customWidth="1"/>
    <col min="33" max="33" width="9.140625" style="1" hidden="1" customWidth="1"/>
    <col min="34" max="34" width="16.5703125" style="1" hidden="1" customWidth="1"/>
    <col min="35" max="35" width="9.140625" style="1" hidden="1" customWidth="1"/>
    <col min="36" max="36" width="17.28515625" style="1" hidden="1" customWidth="1"/>
    <col min="37" max="37" width="9.140625" style="1" hidden="1" customWidth="1"/>
    <col min="38" max="38" width="13.85546875" style="1" hidden="1" customWidth="1"/>
    <col min="39" max="39" width="9.140625" style="1" hidden="1" customWidth="1"/>
    <col min="40" max="40" width="17.28515625" style="1" hidden="1" customWidth="1"/>
    <col min="41" max="41" width="9.140625" style="1" hidden="1" customWidth="1"/>
    <col min="42" max="42" width="13.85546875" style="1" hidden="1" customWidth="1"/>
    <col min="43" max="16384" width="9.140625" style="1"/>
  </cols>
  <sheetData>
    <row r="1" spans="1:42" x14ac:dyDescent="0.2">
      <c r="A1" s="206" t="str">
        <f>UPPER((Kalend!E28)&amp;" - "&amp;(Kalend!C28))&amp;" - "&amp;LOWER(Kalend!D28)&amp;" - "&amp;(Kalend!A28)&amp;" kell "&amp;(Kalend!B28)&amp;" - "&amp;(Kalend!F28)</f>
        <v>V9 - VOKA IV SISE-KV 9. ETAPP
TOILA VALLA LAHTISED SISE-MV - duo - P, 17.04.2022 kell 11:00 - Voka petangihall</v>
      </c>
      <c r="O1" s="157"/>
      <c r="P1" s="157"/>
      <c r="Q1" s="187"/>
      <c r="R1" s="187"/>
      <c r="S1" s="187"/>
      <c r="T1" s="40"/>
      <c r="U1" s="40"/>
      <c r="W1" s="40"/>
      <c r="X1" s="157"/>
      <c r="Y1" s="28"/>
      <c r="Z1" s="157"/>
      <c r="AD1" s="44" t="s">
        <v>71</v>
      </c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303"/>
      <c r="AP1" s="303"/>
    </row>
    <row r="2" spans="1:42" x14ac:dyDescent="0.2">
      <c r="F2" s="157"/>
      <c r="L2" s="214"/>
      <c r="M2" s="214"/>
      <c r="N2" s="214"/>
      <c r="O2" s="157"/>
      <c r="P2" s="157"/>
      <c r="Q2" s="157"/>
      <c r="R2" s="157"/>
      <c r="S2" s="157"/>
      <c r="T2" s="214"/>
      <c r="U2" s="214"/>
      <c r="X2" s="215" t="s">
        <v>195</v>
      </c>
      <c r="Y2" s="216">
        <v>1</v>
      </c>
      <c r="Z2" s="217" t="s">
        <v>196</v>
      </c>
      <c r="AD2" s="157"/>
      <c r="AE2" s="157"/>
      <c r="AF2" s="157"/>
      <c r="AG2" s="157"/>
      <c r="AH2" s="157"/>
      <c r="AI2" s="157"/>
      <c r="AJ2" s="217"/>
      <c r="AK2" s="157"/>
      <c r="AL2" s="157"/>
      <c r="AM2" s="157"/>
      <c r="AN2" s="157"/>
    </row>
    <row r="3" spans="1:42" x14ac:dyDescent="0.2">
      <c r="F3" s="157"/>
      <c r="L3" s="214"/>
      <c r="M3" s="214"/>
      <c r="N3" s="214"/>
      <c r="O3" s="157"/>
      <c r="P3" s="157"/>
      <c r="Q3" s="157"/>
      <c r="R3" s="157"/>
      <c r="S3" s="157"/>
      <c r="T3" s="214"/>
      <c r="U3" s="214"/>
      <c r="X3" s="218" t="s">
        <v>197</v>
      </c>
      <c r="Y3" s="216">
        <v>0.5</v>
      </c>
      <c r="Z3" s="217" t="s">
        <v>196</v>
      </c>
      <c r="AE3" s="157"/>
      <c r="AG3" s="157"/>
      <c r="AH3" s="157"/>
      <c r="AI3" s="157"/>
      <c r="AJ3" s="157"/>
      <c r="AK3" s="157"/>
      <c r="AL3" s="157"/>
      <c r="AM3" s="157"/>
      <c r="AN3" s="157"/>
    </row>
    <row r="4" spans="1:42" x14ac:dyDescent="0.2">
      <c r="F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X4" s="219" t="s">
        <v>198</v>
      </c>
      <c r="Y4" s="216">
        <v>0</v>
      </c>
      <c r="Z4" s="217" t="s">
        <v>196</v>
      </c>
      <c r="AA4" s="157"/>
      <c r="AE4" s="214"/>
      <c r="AF4" s="214"/>
      <c r="AG4" s="214"/>
      <c r="AH4" s="205"/>
      <c r="AI4" s="214"/>
      <c r="AJ4" s="214"/>
      <c r="AK4" s="214"/>
      <c r="AL4" s="214"/>
      <c r="AM4" s="214"/>
      <c r="AN4" s="214"/>
      <c r="AO4" s="214"/>
      <c r="AP4" s="214"/>
    </row>
    <row r="5" spans="1:42" x14ac:dyDescent="0.2">
      <c r="F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363" t="s">
        <v>231</v>
      </c>
      <c r="AC5" s="157"/>
      <c r="AD5" s="360" t="s">
        <v>176</v>
      </c>
    </row>
    <row r="6" spans="1:42" x14ac:dyDescent="0.2">
      <c r="A6" s="326" t="s">
        <v>10</v>
      </c>
      <c r="B6" s="326" t="s">
        <v>58</v>
      </c>
      <c r="C6" s="327" t="s">
        <v>133</v>
      </c>
      <c r="D6" s="328"/>
      <c r="E6" s="328"/>
      <c r="F6" s="329"/>
      <c r="G6" s="327" t="s">
        <v>136</v>
      </c>
      <c r="H6" s="328"/>
      <c r="I6" s="328"/>
      <c r="J6" s="329"/>
      <c r="K6" s="327" t="s">
        <v>139</v>
      </c>
      <c r="L6" s="328"/>
      <c r="M6" s="328"/>
      <c r="N6" s="329"/>
      <c r="O6" s="327" t="s">
        <v>142</v>
      </c>
      <c r="P6" s="328"/>
      <c r="Q6" s="328"/>
      <c r="R6" s="329"/>
      <c r="S6" s="327" t="s">
        <v>144</v>
      </c>
      <c r="T6" s="328"/>
      <c r="U6" s="328"/>
      <c r="V6" s="329"/>
      <c r="W6" s="326" t="s">
        <v>79</v>
      </c>
      <c r="X6" s="330" t="s">
        <v>220</v>
      </c>
      <c r="Y6" s="326" t="s">
        <v>358</v>
      </c>
      <c r="Z6" s="330"/>
      <c r="AA6" s="331" t="s">
        <v>221</v>
      </c>
      <c r="AB6" s="332"/>
      <c r="AC6" s="157"/>
      <c r="AD6" s="158" t="s">
        <v>224</v>
      </c>
      <c r="AE6" s="159"/>
      <c r="AF6" s="159" t="s">
        <v>191</v>
      </c>
      <c r="AG6" s="159"/>
      <c r="AH6" s="209" t="s">
        <v>192</v>
      </c>
      <c r="AI6" s="159"/>
      <c r="AJ6" s="159" t="s">
        <v>193</v>
      </c>
      <c r="AK6" s="160"/>
      <c r="AL6" s="159" t="s">
        <v>194</v>
      </c>
      <c r="AM6" s="160"/>
      <c r="AN6" s="160" t="s">
        <v>229</v>
      </c>
      <c r="AO6" s="359"/>
      <c r="AP6" s="160" t="s">
        <v>230</v>
      </c>
    </row>
    <row r="7" spans="1:42" x14ac:dyDescent="0.2">
      <c r="A7" s="333">
        <v>1</v>
      </c>
      <c r="B7" s="395" t="s">
        <v>209</v>
      </c>
      <c r="C7" s="334">
        <v>13</v>
      </c>
      <c r="D7" s="335" t="s">
        <v>222</v>
      </c>
      <c r="E7" s="336">
        <v>6</v>
      </c>
      <c r="F7" s="337" t="s">
        <v>359</v>
      </c>
      <c r="G7" s="334">
        <v>13</v>
      </c>
      <c r="H7" s="335" t="s">
        <v>222</v>
      </c>
      <c r="I7" s="336">
        <v>12</v>
      </c>
      <c r="J7" s="337" t="s">
        <v>285</v>
      </c>
      <c r="K7" s="334">
        <v>13</v>
      </c>
      <c r="L7" s="335" t="s">
        <v>222</v>
      </c>
      <c r="M7" s="336">
        <v>1</v>
      </c>
      <c r="N7" s="337" t="s">
        <v>234</v>
      </c>
      <c r="O7" s="334">
        <v>13</v>
      </c>
      <c r="P7" s="335" t="s">
        <v>222</v>
      </c>
      <c r="Q7" s="336">
        <v>7</v>
      </c>
      <c r="R7" s="337" t="s">
        <v>363</v>
      </c>
      <c r="S7" s="334"/>
      <c r="T7" s="335" t="s">
        <v>222</v>
      </c>
      <c r="U7" s="336"/>
      <c r="V7" s="337"/>
      <c r="W7" s="338">
        <f t="shared" ref="W7:W15" si="0">IF(C7&gt;E7,Y$2,IF(C7&lt;E7,Y$4,IF(ISNUMBER(C7),Y$3,0)))+IF(G7&gt;I7,Y$2,IF(G7&lt;I7,Y$4,IF(ISNUMBER(G7),Y$3,0)))+IF(K7&gt;M7,Y$2,IF(K7&lt;M7,Y$4,IF(ISNUMBER(K7),Y$3,0)))+IF(O7&gt;Q7,Y$2,IF(O7&lt;Q7,Y$4,IF(ISNUMBER(O7),Y$3,0)))+IF(S7&gt;U7,Y$2,IF(S7&lt;U7,Y$4,IF(ISNUMBER(S7),Y$3,0)))</f>
        <v>4</v>
      </c>
      <c r="X7" s="911">
        <v>20</v>
      </c>
      <c r="Y7" s="914">
        <v>72</v>
      </c>
      <c r="Z7" s="334">
        <f t="shared" ref="Z7:Z15" si="1">C7+G7+K7+O7+S7</f>
        <v>52</v>
      </c>
      <c r="AA7" s="335" t="s">
        <v>222</v>
      </c>
      <c r="AB7" s="340">
        <f t="shared" ref="AB7:AB15" si="2">E7+I7+M7+Q7+U7</f>
        <v>26</v>
      </c>
      <c r="AC7" s="341">
        <f>Z7-AB7</f>
        <v>26</v>
      </c>
      <c r="AD7" s="211">
        <f>SUM(AE7:AP7)</f>
        <v>146</v>
      </c>
      <c r="AE7" s="212">
        <f>IFERROR(INDEX(V!$R:$R,MATCH(AF7,V!$L:$L,0)),"")</f>
        <v>73</v>
      </c>
      <c r="AF7" s="213" t="str">
        <f>IFERROR(LEFT($B7,(FIND(",",$B7,1)-1)),"")</f>
        <v>Jaan Sepp</v>
      </c>
      <c r="AG7" s="212">
        <f>IFERROR(INDEX(V!$R:$R,MATCH(AH7,V!$L:$L,0)),"")</f>
        <v>73</v>
      </c>
      <c r="AH7" s="213" t="str">
        <f>IFERROR(MID($B7,FIND(", ",$B7)+2,256),"")</f>
        <v>Oskar Sepp</v>
      </c>
      <c r="AI7" s="212" t="str">
        <f>IFERROR(INDEX(V!$R:$R,MATCH(AJ7,V!$L:$L,0)),"")</f>
        <v/>
      </c>
      <c r="AJ7" s="213" t="str">
        <f>IFERROR(MID($B7,FIND("^",SUBSTITUTE($B7,", ","^",1))+2,FIND("^",SUBSTITUTE($B7,", ","^",2))-FIND("^",SUBSTITUTE($B7,", ","^",1))-2),"")</f>
        <v/>
      </c>
      <c r="AK7" s="212" t="str">
        <f>IFERROR(INDEX(V!$R:$R,MATCH(AL7,V!$L:$L,0)),"")</f>
        <v/>
      </c>
      <c r="AL7" s="213" t="str">
        <f>IFERROR(MID($B7,FIND(", ",$B7,FIND(", ",$B7,FIND(", ",$B7))+1)+2,30000),"")</f>
        <v/>
      </c>
      <c r="AM7" s="212" t="str">
        <f>IFERROR(INDEX(V!$R:$R,MATCH(AN7,V!$L:$L,0)),"")</f>
        <v/>
      </c>
      <c r="AN7" s="213" t="str">
        <f>IFERROR(MID($B7,FIND(", ",$B7,FIND(", ",$B7)+1)+2,FIND(", ",$B7,FIND(", ",$B7,FIND(", ",$B7)+1)+1)-FIND(", ",$B7,FIND(", ",$B7)+1)-2),"")</f>
        <v/>
      </c>
      <c r="AO7" s="212" t="str">
        <f>IFERROR(INDEX(V!$R:$R,MATCH(AP7,V!$L:$L,0)),"")</f>
        <v/>
      </c>
      <c r="AP7" s="213" t="str">
        <f>IFERROR(MID($B7,FIND(", ",$B7,FIND(", ",$B7,FIND(", ",$B7)+1)+1)+2,30000),"")</f>
        <v/>
      </c>
    </row>
    <row r="8" spans="1:42" x14ac:dyDescent="0.2">
      <c r="A8" s="333">
        <v>2</v>
      </c>
      <c r="B8" s="241" t="s">
        <v>234</v>
      </c>
      <c r="C8" s="334">
        <v>13</v>
      </c>
      <c r="D8" s="335" t="s">
        <v>222</v>
      </c>
      <c r="E8" s="336">
        <v>7</v>
      </c>
      <c r="F8" s="337" t="s">
        <v>214</v>
      </c>
      <c r="G8" s="334">
        <v>13</v>
      </c>
      <c r="H8" s="335" t="s">
        <v>222</v>
      </c>
      <c r="I8" s="336">
        <v>11</v>
      </c>
      <c r="J8" s="337" t="s">
        <v>360</v>
      </c>
      <c r="K8" s="334">
        <v>1</v>
      </c>
      <c r="L8" s="335" t="s">
        <v>222</v>
      </c>
      <c r="M8" s="336">
        <v>13</v>
      </c>
      <c r="N8" s="337" t="s">
        <v>209</v>
      </c>
      <c r="O8" s="334">
        <v>13</v>
      </c>
      <c r="P8" s="335" t="s">
        <v>222</v>
      </c>
      <c r="Q8" s="336">
        <v>10</v>
      </c>
      <c r="R8" s="337" t="s">
        <v>285</v>
      </c>
      <c r="S8" s="334"/>
      <c r="T8" s="335" t="s">
        <v>222</v>
      </c>
      <c r="U8" s="336"/>
      <c r="V8" s="337"/>
      <c r="W8" s="385">
        <f t="shared" si="0"/>
        <v>3</v>
      </c>
      <c r="X8" s="912">
        <v>18</v>
      </c>
      <c r="Y8" s="914">
        <v>74</v>
      </c>
      <c r="Z8" s="334">
        <f t="shared" si="1"/>
        <v>40</v>
      </c>
      <c r="AA8" s="335" t="s">
        <v>222</v>
      </c>
      <c r="AB8" s="340">
        <f t="shared" si="2"/>
        <v>41</v>
      </c>
      <c r="AC8" s="341">
        <f t="shared" ref="AC8:AC15" si="3">Z8-AB8</f>
        <v>-1</v>
      </c>
      <c r="AD8" s="211">
        <f t="shared" ref="AD8:AD11" si="4">SUM(AE8:AL8)</f>
        <v>293</v>
      </c>
      <c r="AE8" s="212">
        <f>IFERROR(INDEX(V!$R:$R,MATCH(AF8,V!$L:$L,0)),"")</f>
        <v>159</v>
      </c>
      <c r="AF8" s="213" t="str">
        <f t="shared" ref="AF8:AF19" si="5">IFERROR(LEFT($B8,(FIND(",",$B8,1)-1)),"")</f>
        <v>Henri Mitt</v>
      </c>
      <c r="AG8" s="212">
        <f>IFERROR(INDEX(V!$R:$R,MATCH(AH8,V!$L:$L,0)),"")</f>
        <v>134</v>
      </c>
      <c r="AH8" s="213" t="str">
        <f t="shared" ref="AH8:AH19" si="6">IFERROR(MID($B8,FIND(", ",$B8)+2,256),"")</f>
        <v>Urmas Randlaine</v>
      </c>
      <c r="AI8" s="212" t="str">
        <f>IFERROR(INDEX(V!$R:$R,MATCH(AJ8,V!$L:$L,0)),"")</f>
        <v/>
      </c>
      <c r="AJ8" s="213" t="str">
        <f t="shared" ref="AJ8:AJ19" si="7">IFERROR(MID($B8,FIND("^",SUBSTITUTE($B8,", ","^",1))+2,FIND("^",SUBSTITUTE($B8,", ","^",2))-FIND("^",SUBSTITUTE($B8,", ","^",1))-2),"")</f>
        <v/>
      </c>
      <c r="AK8" s="212" t="str">
        <f>IFERROR(INDEX(V!$R:$R,MATCH(AL8,V!$L:$L,0)),"")</f>
        <v/>
      </c>
      <c r="AL8" s="213" t="str">
        <f t="shared" ref="AL8:AL19" si="8">IFERROR(MID($B8,FIND(", ",$B8,FIND(", ",$B8,FIND(", ",$B8))+1)+2,30000),"")</f>
        <v/>
      </c>
      <c r="AM8" s="212" t="str">
        <f>IFERROR(INDEX(V!$R:$R,MATCH(AN8,V!$L:$L,0)),"")</f>
        <v/>
      </c>
      <c r="AN8" s="213" t="str">
        <f t="shared" ref="AN8:AN19" si="9">IFERROR(MID($B8,FIND(", ",$B8,FIND(", ",$B8)+1)+2,FIND(", ",$B8,FIND(", ",$B8,FIND(", ",$B8)+1)+1)-FIND(", ",$B8,FIND(", ",$B8)+1)-2),"")</f>
        <v/>
      </c>
      <c r="AO8" s="212" t="str">
        <f>IFERROR(INDEX(V!$R:$R,MATCH(AP8,V!$L:$L,0)),"")</f>
        <v/>
      </c>
      <c r="AP8" s="213" t="str">
        <f t="shared" ref="AP8:AP19" si="10">IFERROR(MID($B8,FIND(", ",$B8,FIND(", ",$B8,FIND(", ",$B8)+1)+1)+2,30000),"")</f>
        <v/>
      </c>
    </row>
    <row r="9" spans="1:42" x14ac:dyDescent="0.2">
      <c r="A9" s="333">
        <v>3</v>
      </c>
      <c r="B9" s="255" t="s">
        <v>260</v>
      </c>
      <c r="C9" s="334">
        <v>11</v>
      </c>
      <c r="D9" s="335" t="s">
        <v>222</v>
      </c>
      <c r="E9" s="336">
        <v>13</v>
      </c>
      <c r="F9" s="337" t="s">
        <v>362</v>
      </c>
      <c r="G9" s="334">
        <v>13</v>
      </c>
      <c r="H9" s="335" t="s">
        <v>222</v>
      </c>
      <c r="I9" s="336">
        <v>10</v>
      </c>
      <c r="J9" s="337" t="s">
        <v>261</v>
      </c>
      <c r="K9" s="334">
        <v>13</v>
      </c>
      <c r="L9" s="335" t="s">
        <v>222</v>
      </c>
      <c r="M9" s="336">
        <v>5</v>
      </c>
      <c r="N9" s="337" t="s">
        <v>359</v>
      </c>
      <c r="O9" s="334">
        <v>13</v>
      </c>
      <c r="P9" s="335" t="s">
        <v>222</v>
      </c>
      <c r="Q9" s="336">
        <v>5</v>
      </c>
      <c r="R9" s="337" t="s">
        <v>227</v>
      </c>
      <c r="S9" s="334"/>
      <c r="T9" s="335" t="s">
        <v>222</v>
      </c>
      <c r="U9" s="336"/>
      <c r="V9" s="337"/>
      <c r="W9" s="385">
        <f t="shared" si="0"/>
        <v>3</v>
      </c>
      <c r="X9" s="912">
        <v>14</v>
      </c>
      <c r="Y9" s="926">
        <v>66</v>
      </c>
      <c r="Z9" s="334">
        <f t="shared" si="1"/>
        <v>50</v>
      </c>
      <c r="AA9" s="335" t="s">
        <v>222</v>
      </c>
      <c r="AB9" s="340">
        <f t="shared" si="2"/>
        <v>33</v>
      </c>
      <c r="AC9" s="341">
        <f t="shared" si="3"/>
        <v>17</v>
      </c>
      <c r="AD9" s="211">
        <f t="shared" si="4"/>
        <v>282</v>
      </c>
      <c r="AE9" s="212">
        <f>IFERROR(INDEX(V!$R:$R,MATCH(AF9,V!$L:$L,0)),"")</f>
        <v>141</v>
      </c>
      <c r="AF9" s="213" t="str">
        <f t="shared" si="5"/>
        <v>Enn Tokman</v>
      </c>
      <c r="AG9" s="212">
        <f>IFERROR(INDEX(V!$R:$R,MATCH(AH9,V!$L:$L,0)),"")</f>
        <v>141</v>
      </c>
      <c r="AH9" s="213" t="str">
        <f t="shared" si="6"/>
        <v>Kenneth Muusikus</v>
      </c>
      <c r="AI9" s="212" t="str">
        <f>IFERROR(INDEX(V!$R:$R,MATCH(AJ9,V!$L:$L,0)),"")</f>
        <v/>
      </c>
      <c r="AJ9" s="213" t="str">
        <f t="shared" si="7"/>
        <v/>
      </c>
      <c r="AK9" s="212" t="str">
        <f>IFERROR(INDEX(V!$R:$R,MATCH(AL9,V!$L:$L,0)),"")</f>
        <v/>
      </c>
      <c r="AL9" s="213" t="str">
        <f t="shared" si="8"/>
        <v/>
      </c>
      <c r="AM9" s="212" t="str">
        <f>IFERROR(INDEX(V!$R:$R,MATCH(AN9,V!$L:$L,0)),"")</f>
        <v/>
      </c>
      <c r="AN9" s="213" t="str">
        <f t="shared" si="9"/>
        <v/>
      </c>
      <c r="AO9" s="212" t="str">
        <f>IFERROR(INDEX(V!$R:$R,MATCH(AP9,V!$L:$L,0)),"")</f>
        <v/>
      </c>
      <c r="AP9" s="213" t="str">
        <f t="shared" si="10"/>
        <v/>
      </c>
    </row>
    <row r="10" spans="1:42" x14ac:dyDescent="0.2">
      <c r="A10" s="333">
        <v>4</v>
      </c>
      <c r="B10" s="255" t="s">
        <v>363</v>
      </c>
      <c r="C10" s="334">
        <v>13</v>
      </c>
      <c r="D10" s="335" t="s">
        <v>222</v>
      </c>
      <c r="E10" s="336">
        <v>7</v>
      </c>
      <c r="F10" s="337" t="s">
        <v>357</v>
      </c>
      <c r="G10" s="334">
        <v>13</v>
      </c>
      <c r="H10" s="335" t="s">
        <v>222</v>
      </c>
      <c r="I10" s="336">
        <v>12</v>
      </c>
      <c r="J10" s="337" t="s">
        <v>362</v>
      </c>
      <c r="K10" s="334">
        <v>13</v>
      </c>
      <c r="L10" s="335" t="s">
        <v>222</v>
      </c>
      <c r="M10" s="336">
        <v>11</v>
      </c>
      <c r="N10" s="337" t="s">
        <v>360</v>
      </c>
      <c r="O10" s="334">
        <v>7</v>
      </c>
      <c r="P10" s="335" t="s">
        <v>222</v>
      </c>
      <c r="Q10" s="336">
        <v>13</v>
      </c>
      <c r="R10" s="337" t="s">
        <v>209</v>
      </c>
      <c r="S10" s="334"/>
      <c r="T10" s="335" t="s">
        <v>222</v>
      </c>
      <c r="U10" s="336"/>
      <c r="V10" s="337"/>
      <c r="W10" s="385">
        <f t="shared" si="0"/>
        <v>3</v>
      </c>
      <c r="X10" s="912">
        <v>14</v>
      </c>
      <c r="Y10" s="926">
        <v>56</v>
      </c>
      <c r="Z10" s="334">
        <f t="shared" si="1"/>
        <v>46</v>
      </c>
      <c r="AA10" s="335" t="s">
        <v>222</v>
      </c>
      <c r="AB10" s="340">
        <f t="shared" si="2"/>
        <v>43</v>
      </c>
      <c r="AC10" s="341">
        <f t="shared" si="3"/>
        <v>3</v>
      </c>
      <c r="AD10" s="211">
        <f t="shared" si="4"/>
        <v>195</v>
      </c>
      <c r="AE10" s="212">
        <f>IFERROR(INDEX(V!$R:$R,MATCH(AF10,V!$L:$L,0)),"")</f>
        <v>52</v>
      </c>
      <c r="AF10" s="213" t="str">
        <f t="shared" si="5"/>
        <v>Andrei Grintšak</v>
      </c>
      <c r="AG10" s="212">
        <f>IFERROR(INDEX(V!$R:$R,MATCH(AH10,V!$L:$L,0)),"")</f>
        <v>143</v>
      </c>
      <c r="AH10" s="213" t="str">
        <f t="shared" si="6"/>
        <v>Hillar Neiland</v>
      </c>
      <c r="AI10" s="212" t="str">
        <f>IFERROR(INDEX(V!$R:$R,MATCH(AJ10,V!$L:$L,0)),"")</f>
        <v/>
      </c>
      <c r="AJ10" s="213" t="str">
        <f t="shared" si="7"/>
        <v/>
      </c>
      <c r="AK10" s="212" t="str">
        <f>IFERROR(INDEX(V!$R:$R,MATCH(AL10,V!$L:$L,0)),"")</f>
        <v/>
      </c>
      <c r="AL10" s="213" t="str">
        <f t="shared" si="8"/>
        <v/>
      </c>
      <c r="AM10" s="212" t="str">
        <f>IFERROR(INDEX(V!$R:$R,MATCH(AN10,V!$L:$L,0)),"")</f>
        <v/>
      </c>
      <c r="AN10" s="213" t="str">
        <f t="shared" si="9"/>
        <v/>
      </c>
      <c r="AO10" s="212" t="str">
        <f>IFERROR(INDEX(V!$R:$R,MATCH(AP10,V!$L:$L,0)),"")</f>
        <v/>
      </c>
      <c r="AP10" s="213" t="str">
        <f t="shared" si="10"/>
        <v/>
      </c>
    </row>
    <row r="11" spans="1:42" x14ac:dyDescent="0.2">
      <c r="A11" s="333">
        <v>5</v>
      </c>
      <c r="B11" s="241" t="s">
        <v>285</v>
      </c>
      <c r="C11" s="334">
        <v>13</v>
      </c>
      <c r="D11" s="335" t="s">
        <v>222</v>
      </c>
      <c r="E11" s="336">
        <v>5</v>
      </c>
      <c r="F11" s="337" t="s">
        <v>361</v>
      </c>
      <c r="G11" s="334">
        <v>12</v>
      </c>
      <c r="H11" s="335" t="s">
        <v>222</v>
      </c>
      <c r="I11" s="336">
        <v>13</v>
      </c>
      <c r="J11" s="337" t="s">
        <v>209</v>
      </c>
      <c r="K11" s="334">
        <v>13</v>
      </c>
      <c r="L11" s="335" t="s">
        <v>222</v>
      </c>
      <c r="M11" s="336">
        <v>11</v>
      </c>
      <c r="N11" s="337" t="s">
        <v>362</v>
      </c>
      <c r="O11" s="334">
        <v>10</v>
      </c>
      <c r="P11" s="335" t="s">
        <v>222</v>
      </c>
      <c r="Q11" s="336">
        <v>13</v>
      </c>
      <c r="R11" s="337" t="s">
        <v>234</v>
      </c>
      <c r="S11" s="334"/>
      <c r="T11" s="335" t="s">
        <v>222</v>
      </c>
      <c r="U11" s="336"/>
      <c r="V11" s="337"/>
      <c r="W11" s="386">
        <f t="shared" si="0"/>
        <v>2</v>
      </c>
      <c r="X11" s="913">
        <v>20</v>
      </c>
      <c r="Y11" s="915">
        <v>68</v>
      </c>
      <c r="Z11" s="334">
        <f t="shared" si="1"/>
        <v>48</v>
      </c>
      <c r="AA11" s="335" t="s">
        <v>222</v>
      </c>
      <c r="AB11" s="340">
        <f t="shared" si="2"/>
        <v>42</v>
      </c>
      <c r="AC11" s="341">
        <f t="shared" si="3"/>
        <v>6</v>
      </c>
      <c r="AD11" s="211">
        <f t="shared" si="4"/>
        <v>195</v>
      </c>
      <c r="AE11" s="212">
        <f>IFERROR(INDEX(V!$R:$R,MATCH(AF11,V!$L:$L,0)),"")</f>
        <v>153</v>
      </c>
      <c r="AF11" s="213" t="str">
        <f t="shared" si="5"/>
        <v>Kaspar Mänd</v>
      </c>
      <c r="AG11" s="212">
        <f>IFERROR(INDEX(V!$R:$R,MATCH(AH11,V!$L:$L,0)),"")</f>
        <v>42</v>
      </c>
      <c r="AH11" s="213" t="str">
        <f t="shared" si="6"/>
        <v>Matti Vinni</v>
      </c>
      <c r="AI11" s="212" t="str">
        <f>IFERROR(INDEX(V!$R:$R,MATCH(AJ11,V!$L:$L,0)),"")</f>
        <v/>
      </c>
      <c r="AJ11" s="213" t="str">
        <f t="shared" si="7"/>
        <v/>
      </c>
      <c r="AK11" s="212" t="str">
        <f>IFERROR(INDEX(V!$R:$R,MATCH(AL11,V!$L:$L,0)),"")</f>
        <v/>
      </c>
      <c r="AL11" s="213" t="str">
        <f t="shared" si="8"/>
        <v/>
      </c>
      <c r="AM11" s="212" t="str">
        <f>IFERROR(INDEX(V!$R:$R,MATCH(AN11,V!$L:$L,0)),"")</f>
        <v/>
      </c>
      <c r="AN11" s="213" t="str">
        <f t="shared" si="9"/>
        <v/>
      </c>
      <c r="AO11" s="212" t="str">
        <f>IFERROR(INDEX(V!$R:$R,MATCH(AP11,V!$L:$L,0)),"")</f>
        <v/>
      </c>
      <c r="AP11" s="213" t="str">
        <f t="shared" si="10"/>
        <v/>
      </c>
    </row>
    <row r="12" spans="1:42" x14ac:dyDescent="0.2">
      <c r="A12" s="333">
        <v>6</v>
      </c>
      <c r="B12" s="255" t="s">
        <v>359</v>
      </c>
      <c r="C12" s="334">
        <v>6</v>
      </c>
      <c r="D12" s="335" t="s">
        <v>222</v>
      </c>
      <c r="E12" s="336">
        <v>13</v>
      </c>
      <c r="F12" s="337" t="s">
        <v>209</v>
      </c>
      <c r="G12" s="334">
        <v>13</v>
      </c>
      <c r="H12" s="335" t="s">
        <v>222</v>
      </c>
      <c r="I12" s="336">
        <v>10</v>
      </c>
      <c r="J12" s="337" t="s">
        <v>361</v>
      </c>
      <c r="K12" s="334">
        <v>5</v>
      </c>
      <c r="L12" s="335" t="s">
        <v>222</v>
      </c>
      <c r="M12" s="336">
        <v>13</v>
      </c>
      <c r="N12" s="337" t="s">
        <v>260</v>
      </c>
      <c r="O12" s="334">
        <v>13</v>
      </c>
      <c r="P12" s="335" t="s">
        <v>222</v>
      </c>
      <c r="Q12" s="336">
        <v>6</v>
      </c>
      <c r="R12" s="337" t="s">
        <v>362</v>
      </c>
      <c r="S12" s="334"/>
      <c r="T12" s="335" t="s">
        <v>222</v>
      </c>
      <c r="U12" s="336"/>
      <c r="V12" s="337"/>
      <c r="W12" s="386">
        <f t="shared" si="0"/>
        <v>2</v>
      </c>
      <c r="X12" s="913">
        <v>20</v>
      </c>
      <c r="Y12" s="915">
        <v>64</v>
      </c>
      <c r="Z12" s="334">
        <f t="shared" si="1"/>
        <v>37</v>
      </c>
      <c r="AA12" s="335" t="s">
        <v>222</v>
      </c>
      <c r="AB12" s="340">
        <f t="shared" si="2"/>
        <v>42</v>
      </c>
      <c r="AC12" s="341">
        <f t="shared" si="3"/>
        <v>-5</v>
      </c>
      <c r="AD12" s="211">
        <f t="shared" ref="AD12:AD13" si="11">SUM(AE12:AL12)</f>
        <v>242</v>
      </c>
      <c r="AE12" s="212">
        <f>IFERROR(INDEX(V!$R:$R,MATCH(AF12,V!$L:$L,0)),"")</f>
        <v>132</v>
      </c>
      <c r="AF12" s="213" t="str">
        <f t="shared" si="5"/>
        <v>Olav Türk</v>
      </c>
      <c r="AG12" s="212">
        <f>IFERROR(INDEX(V!$R:$R,MATCH(AH12,V!$L:$L,0)),"")</f>
        <v>110</v>
      </c>
      <c r="AH12" s="213" t="str">
        <f t="shared" si="6"/>
        <v>Sander Rose</v>
      </c>
      <c r="AI12" s="212" t="str">
        <f>IFERROR(INDEX(V!$R:$R,MATCH(AJ12,V!$L:$L,0)),"")</f>
        <v/>
      </c>
      <c r="AJ12" s="213" t="str">
        <f t="shared" si="7"/>
        <v/>
      </c>
      <c r="AK12" s="212" t="str">
        <f>IFERROR(INDEX(V!$R:$R,MATCH(AL12,V!$L:$L,0)),"")</f>
        <v/>
      </c>
      <c r="AL12" s="213" t="str">
        <f t="shared" si="8"/>
        <v/>
      </c>
      <c r="AM12" s="212" t="str">
        <f>IFERROR(INDEX(V!$R:$R,MATCH(AN12,V!$L:$L,0)),"")</f>
        <v/>
      </c>
      <c r="AN12" s="213" t="str">
        <f t="shared" si="9"/>
        <v/>
      </c>
      <c r="AO12" s="212" t="str">
        <f>IFERROR(INDEX(V!$R:$R,MATCH(AP12,V!$L:$L,0)),"")</f>
        <v/>
      </c>
      <c r="AP12" s="213" t="str">
        <f t="shared" si="10"/>
        <v/>
      </c>
    </row>
    <row r="13" spans="1:42" x14ac:dyDescent="0.2">
      <c r="A13" s="333">
        <v>7</v>
      </c>
      <c r="B13" s="342" t="s">
        <v>360</v>
      </c>
      <c r="C13" s="334">
        <v>13</v>
      </c>
      <c r="D13" s="335" t="s">
        <v>222</v>
      </c>
      <c r="E13" s="336">
        <v>3</v>
      </c>
      <c r="F13" s="337" t="s">
        <v>335</v>
      </c>
      <c r="G13" s="334">
        <v>11</v>
      </c>
      <c r="H13" s="335" t="s">
        <v>222</v>
      </c>
      <c r="I13" s="336">
        <v>13</v>
      </c>
      <c r="J13" s="337" t="s">
        <v>234</v>
      </c>
      <c r="K13" s="334">
        <v>11</v>
      </c>
      <c r="L13" s="335" t="s">
        <v>222</v>
      </c>
      <c r="M13" s="336">
        <v>13</v>
      </c>
      <c r="N13" s="337" t="s">
        <v>363</v>
      </c>
      <c r="O13" s="334">
        <v>13</v>
      </c>
      <c r="P13" s="335" t="s">
        <v>222</v>
      </c>
      <c r="Q13" s="336">
        <v>12</v>
      </c>
      <c r="R13" s="337" t="s">
        <v>214</v>
      </c>
      <c r="S13" s="334"/>
      <c r="T13" s="335" t="s">
        <v>222</v>
      </c>
      <c r="U13" s="336"/>
      <c r="V13" s="337"/>
      <c r="W13" s="386">
        <f t="shared" si="0"/>
        <v>2</v>
      </c>
      <c r="X13" s="913">
        <v>16</v>
      </c>
      <c r="Y13" s="914">
        <v>62</v>
      </c>
      <c r="Z13" s="334">
        <f t="shared" si="1"/>
        <v>48</v>
      </c>
      <c r="AA13" s="335" t="s">
        <v>222</v>
      </c>
      <c r="AB13" s="340">
        <f t="shared" si="2"/>
        <v>41</v>
      </c>
      <c r="AC13" s="341">
        <f t="shared" si="3"/>
        <v>7</v>
      </c>
      <c r="AD13" s="211">
        <f t="shared" si="11"/>
        <v>246</v>
      </c>
      <c r="AE13" s="212">
        <f>IFERROR(INDEX(V!$R:$R,MATCH(AF13,V!$L:$L,0)),"")</f>
        <v>143</v>
      </c>
      <c r="AF13" s="213" t="str">
        <f t="shared" si="5"/>
        <v>Jaan Saar</v>
      </c>
      <c r="AG13" s="212">
        <f>IFERROR(INDEX(V!$R:$R,MATCH(AH13,V!$L:$L,0)),"")</f>
        <v>103</v>
      </c>
      <c r="AH13" s="213" t="str">
        <f t="shared" si="6"/>
        <v>Sirje Maala</v>
      </c>
      <c r="AI13" s="212" t="str">
        <f>IFERROR(INDEX(V!$R:$R,MATCH(AJ13,V!$L:$L,0)),"")</f>
        <v/>
      </c>
      <c r="AJ13" s="213" t="str">
        <f t="shared" si="7"/>
        <v/>
      </c>
      <c r="AK13" s="212" t="str">
        <f>IFERROR(INDEX(V!$R:$R,MATCH(AL13,V!$L:$L,0)),"")</f>
        <v/>
      </c>
      <c r="AL13" s="213" t="str">
        <f t="shared" si="8"/>
        <v/>
      </c>
      <c r="AM13" s="212" t="str">
        <f>IFERROR(INDEX(V!$R:$R,MATCH(AN13,V!$L:$L,0)),"")</f>
        <v/>
      </c>
      <c r="AN13" s="213" t="str">
        <f t="shared" si="9"/>
        <v/>
      </c>
      <c r="AO13" s="212" t="str">
        <f>IFERROR(INDEX(V!$R:$R,MATCH(AP13,V!$L:$L,0)),"")</f>
        <v/>
      </c>
      <c r="AP13" s="213" t="str">
        <f t="shared" si="10"/>
        <v/>
      </c>
    </row>
    <row r="14" spans="1:42" x14ac:dyDescent="0.2">
      <c r="A14" s="333">
        <v>8</v>
      </c>
      <c r="B14" s="255" t="s">
        <v>227</v>
      </c>
      <c r="C14" s="334">
        <v>11</v>
      </c>
      <c r="D14" s="335" t="s">
        <v>222</v>
      </c>
      <c r="E14" s="336">
        <v>13</v>
      </c>
      <c r="F14" s="337" t="s">
        <v>261</v>
      </c>
      <c r="G14" s="334">
        <v>13</v>
      </c>
      <c r="H14" s="335" t="s">
        <v>222</v>
      </c>
      <c r="I14" s="336">
        <v>3</v>
      </c>
      <c r="J14" s="337" t="s">
        <v>214</v>
      </c>
      <c r="K14" s="334">
        <v>13</v>
      </c>
      <c r="L14" s="335" t="s">
        <v>222</v>
      </c>
      <c r="M14" s="336">
        <v>4</v>
      </c>
      <c r="N14" s="337" t="s">
        <v>335</v>
      </c>
      <c r="O14" s="334">
        <v>5</v>
      </c>
      <c r="P14" s="335" t="s">
        <v>222</v>
      </c>
      <c r="Q14" s="336">
        <v>13</v>
      </c>
      <c r="R14" s="337" t="s">
        <v>260</v>
      </c>
      <c r="S14" s="334"/>
      <c r="T14" s="335" t="s">
        <v>222</v>
      </c>
      <c r="U14" s="336"/>
      <c r="V14" s="337"/>
      <c r="W14" s="386">
        <f t="shared" si="0"/>
        <v>2</v>
      </c>
      <c r="X14" s="913">
        <v>14</v>
      </c>
      <c r="Y14" s="914">
        <v>56</v>
      </c>
      <c r="Z14" s="334">
        <f t="shared" si="1"/>
        <v>42</v>
      </c>
      <c r="AA14" s="335" t="s">
        <v>222</v>
      </c>
      <c r="AB14" s="340">
        <f t="shared" si="2"/>
        <v>33</v>
      </c>
      <c r="AC14" s="341">
        <f t="shared" si="3"/>
        <v>9</v>
      </c>
      <c r="AD14" s="211">
        <f t="shared" ref="AD14:AD15" si="12">SUM(AE14:AL14)</f>
        <v>232</v>
      </c>
      <c r="AE14" s="212">
        <f>IFERROR(INDEX(V!$R:$R,MATCH(AF14,V!$L:$L,0)),"")</f>
        <v>115</v>
      </c>
      <c r="AF14" s="213" t="str">
        <f t="shared" si="5"/>
        <v>Oksana Rõndenkova</v>
      </c>
      <c r="AG14" s="212">
        <f>IFERROR(INDEX(V!$R:$R,MATCH(AH14,V!$L:$L,0)),"")</f>
        <v>117</v>
      </c>
      <c r="AH14" s="213" t="str">
        <f t="shared" si="6"/>
        <v>Oleg Rõndenkov</v>
      </c>
      <c r="AI14" s="212" t="str">
        <f>IFERROR(INDEX(V!$R:$R,MATCH(AJ14,V!$L:$L,0)),"")</f>
        <v/>
      </c>
      <c r="AJ14" s="213" t="str">
        <f t="shared" si="7"/>
        <v/>
      </c>
      <c r="AK14" s="212" t="str">
        <f>IFERROR(INDEX(V!$R:$R,MATCH(AL14,V!$L:$L,0)),"")</f>
        <v/>
      </c>
      <c r="AL14" s="213" t="str">
        <f t="shared" si="8"/>
        <v/>
      </c>
      <c r="AM14" s="212" t="str">
        <f>IFERROR(INDEX(V!$R:$R,MATCH(AN14,V!$L:$L,0)),"")</f>
        <v/>
      </c>
      <c r="AN14" s="213" t="str">
        <f t="shared" si="9"/>
        <v/>
      </c>
      <c r="AO14" s="212" t="str">
        <f>IFERROR(INDEX(V!$R:$R,MATCH(AP14,V!$L:$L,0)),"")</f>
        <v/>
      </c>
      <c r="AP14" s="213" t="str">
        <f t="shared" si="10"/>
        <v/>
      </c>
    </row>
    <row r="15" spans="1:42" x14ac:dyDescent="0.2">
      <c r="A15" s="333">
        <v>9</v>
      </c>
      <c r="B15" s="255" t="s">
        <v>261</v>
      </c>
      <c r="C15" s="334">
        <v>13</v>
      </c>
      <c r="D15" s="335" t="s">
        <v>222</v>
      </c>
      <c r="E15" s="336">
        <v>11</v>
      </c>
      <c r="F15" s="337" t="s">
        <v>227</v>
      </c>
      <c r="G15" s="334">
        <v>10</v>
      </c>
      <c r="H15" s="335" t="s">
        <v>222</v>
      </c>
      <c r="I15" s="336">
        <v>13</v>
      </c>
      <c r="J15" s="337" t="s">
        <v>260</v>
      </c>
      <c r="K15" s="334">
        <v>9</v>
      </c>
      <c r="L15" s="335" t="s">
        <v>222</v>
      </c>
      <c r="M15" s="336">
        <v>13</v>
      </c>
      <c r="N15" s="337" t="s">
        <v>214</v>
      </c>
      <c r="O15" s="334">
        <v>13</v>
      </c>
      <c r="P15" s="335" t="s">
        <v>222</v>
      </c>
      <c r="Q15" s="336">
        <v>7</v>
      </c>
      <c r="R15" s="337" t="s">
        <v>357</v>
      </c>
      <c r="S15" s="334"/>
      <c r="T15" s="335" t="s">
        <v>222</v>
      </c>
      <c r="U15" s="336"/>
      <c r="V15" s="337"/>
      <c r="W15" s="386">
        <f t="shared" si="0"/>
        <v>2</v>
      </c>
      <c r="X15" s="913">
        <v>12</v>
      </c>
      <c r="Y15" s="358">
        <v>46</v>
      </c>
      <c r="Z15" s="334">
        <f t="shared" si="1"/>
        <v>45</v>
      </c>
      <c r="AA15" s="335" t="s">
        <v>222</v>
      </c>
      <c r="AB15" s="340">
        <f t="shared" si="2"/>
        <v>44</v>
      </c>
      <c r="AC15" s="341">
        <f t="shared" si="3"/>
        <v>1</v>
      </c>
      <c r="AD15" s="211">
        <f t="shared" si="12"/>
        <v>106</v>
      </c>
      <c r="AE15" s="212">
        <f>IFERROR(INDEX(V!$R:$R,MATCH(AF15,V!$L:$L,0)),"")</f>
        <v>53</v>
      </c>
      <c r="AF15" s="213" t="str">
        <f t="shared" si="5"/>
        <v>Lemmit Toomra</v>
      </c>
      <c r="AG15" s="212">
        <f>IFERROR(INDEX(V!$R:$R,MATCH(AH15,V!$L:$L,0)),"")</f>
        <v>53</v>
      </c>
      <c r="AH15" s="213" t="str">
        <f t="shared" si="6"/>
        <v>Tõnu Kapper</v>
      </c>
      <c r="AI15" s="212" t="str">
        <f>IFERROR(INDEX(V!$R:$R,MATCH(AJ15,V!$L:$L,0)),"")</f>
        <v/>
      </c>
      <c r="AJ15" s="213" t="str">
        <f t="shared" si="7"/>
        <v/>
      </c>
      <c r="AK15" s="212" t="str">
        <f>IFERROR(INDEX(V!$R:$R,MATCH(AL15,V!$L:$L,0)),"")</f>
        <v/>
      </c>
      <c r="AL15" s="213" t="str">
        <f t="shared" si="8"/>
        <v/>
      </c>
      <c r="AM15" s="212" t="str">
        <f>IFERROR(INDEX(V!$R:$R,MATCH(AN15,V!$L:$L,0)),"")</f>
        <v/>
      </c>
      <c r="AN15" s="213" t="str">
        <f t="shared" si="9"/>
        <v/>
      </c>
      <c r="AO15" s="212" t="str">
        <f>IFERROR(INDEX(V!$R:$R,MATCH(AP15,V!$L:$L,0)),"")</f>
        <v/>
      </c>
      <c r="AP15" s="213" t="str">
        <f t="shared" si="10"/>
        <v/>
      </c>
    </row>
    <row r="16" spans="1:42" x14ac:dyDescent="0.2">
      <c r="A16" s="333">
        <v>10</v>
      </c>
      <c r="B16" s="255" t="s">
        <v>361</v>
      </c>
      <c r="C16" s="334">
        <v>5</v>
      </c>
      <c r="D16" s="335" t="s">
        <v>222</v>
      </c>
      <c r="E16" s="336">
        <v>13</v>
      </c>
      <c r="F16" s="337" t="s">
        <v>285</v>
      </c>
      <c r="G16" s="334">
        <v>10</v>
      </c>
      <c r="H16" s="335" t="s">
        <v>222</v>
      </c>
      <c r="I16" s="336">
        <v>13</v>
      </c>
      <c r="J16" s="337" t="s">
        <v>359</v>
      </c>
      <c r="K16" s="334">
        <v>13</v>
      </c>
      <c r="L16" s="335" t="s">
        <v>222</v>
      </c>
      <c r="M16" s="336">
        <v>7</v>
      </c>
      <c r="N16" s="337" t="s">
        <v>357</v>
      </c>
      <c r="O16" s="334">
        <v>13</v>
      </c>
      <c r="P16" s="335" t="s">
        <v>222</v>
      </c>
      <c r="Q16" s="336">
        <v>10</v>
      </c>
      <c r="R16" s="337" t="s">
        <v>335</v>
      </c>
      <c r="S16" s="334"/>
      <c r="T16" s="335" t="s">
        <v>222</v>
      </c>
      <c r="U16" s="336"/>
      <c r="V16" s="337"/>
      <c r="W16" s="386">
        <f t="shared" ref="W16:W17" si="13">IF(C16&gt;E16,Y$2,IF(C16&lt;E16,Y$4,IF(ISNUMBER(C16),Y$3,0)))+IF(G16&gt;I16,Y$2,IF(G16&lt;I16,Y$4,IF(ISNUMBER(G16),Y$3,0)))+IF(K16&gt;M16,Y$2,IF(K16&lt;M16,Y$4,IF(ISNUMBER(K16),Y$3,0)))+IF(O16&gt;Q16,Y$2,IF(O16&lt;Q16,Y$4,IF(ISNUMBER(O16),Y$3,0)))+IF(S16&gt;U16,Y$2,IF(S16&lt;U16,Y$4,IF(ISNUMBER(S16),Y$3,0)))</f>
        <v>2</v>
      </c>
      <c r="X16" s="913">
        <v>10</v>
      </c>
      <c r="Y16" s="914">
        <v>52</v>
      </c>
      <c r="Z16" s="334">
        <f t="shared" ref="Z16:Z17" si="14">C16+G16+K16+O16+S16</f>
        <v>41</v>
      </c>
      <c r="AA16" s="335" t="s">
        <v>222</v>
      </c>
      <c r="AB16" s="340">
        <f t="shared" ref="AB16:AB17" si="15">E16+I16+M16+Q16+U16</f>
        <v>43</v>
      </c>
      <c r="AC16" s="341">
        <f t="shared" ref="AC16:AC17" si="16">Z16-AB16</f>
        <v>-2</v>
      </c>
      <c r="AD16" s="211">
        <f t="shared" ref="AD16:AD17" si="17">SUM(AE16:AL16)</f>
        <v>150</v>
      </c>
      <c r="AE16" s="212">
        <f>IFERROR(INDEX(V!$R:$R,MATCH(AF16,V!$L:$L,0)),"")</f>
        <v>98</v>
      </c>
      <c r="AF16" s="213" t="str">
        <f t="shared" si="5"/>
        <v>Annaliset Neiland</v>
      </c>
      <c r="AG16" s="212">
        <f>IFERROR(INDEX(V!$R:$R,MATCH(AH16,V!$L:$L,0)),"")</f>
        <v>52</v>
      </c>
      <c r="AH16" s="213" t="str">
        <f t="shared" si="6"/>
        <v>Oliver Ojasalu</v>
      </c>
      <c r="AI16" s="212" t="str">
        <f>IFERROR(INDEX(V!$R:$R,MATCH(AJ16,V!$L:$L,0)),"")</f>
        <v/>
      </c>
      <c r="AJ16" s="213" t="str">
        <f t="shared" si="7"/>
        <v/>
      </c>
      <c r="AK16" s="212" t="str">
        <f>IFERROR(INDEX(V!$R:$R,MATCH(AL16,V!$L:$L,0)),"")</f>
        <v/>
      </c>
      <c r="AL16" s="213" t="str">
        <f t="shared" si="8"/>
        <v/>
      </c>
      <c r="AM16" s="212" t="str">
        <f>IFERROR(INDEX(V!$R:$R,MATCH(AN16,V!$L:$L,0)),"")</f>
        <v/>
      </c>
      <c r="AN16" s="213" t="str">
        <f t="shared" si="9"/>
        <v/>
      </c>
      <c r="AO16" s="212" t="str">
        <f>IFERROR(INDEX(V!$R:$R,MATCH(AP16,V!$L:$L,0)),"")</f>
        <v/>
      </c>
      <c r="AP16" s="213" t="str">
        <f t="shared" si="10"/>
        <v/>
      </c>
    </row>
    <row r="17" spans="1:42" x14ac:dyDescent="0.2">
      <c r="A17" s="333">
        <v>11</v>
      </c>
      <c r="B17" s="255" t="s">
        <v>362</v>
      </c>
      <c r="C17" s="334">
        <v>13</v>
      </c>
      <c r="D17" s="335" t="s">
        <v>222</v>
      </c>
      <c r="E17" s="336">
        <v>11</v>
      </c>
      <c r="F17" s="337" t="s">
        <v>260</v>
      </c>
      <c r="G17" s="334">
        <v>12</v>
      </c>
      <c r="H17" s="335" t="s">
        <v>222</v>
      </c>
      <c r="I17" s="336">
        <v>13</v>
      </c>
      <c r="J17" s="337" t="s">
        <v>363</v>
      </c>
      <c r="K17" s="334">
        <v>11</v>
      </c>
      <c r="L17" s="335" t="s">
        <v>222</v>
      </c>
      <c r="M17" s="336">
        <v>13</v>
      </c>
      <c r="N17" s="337" t="s">
        <v>285</v>
      </c>
      <c r="O17" s="334">
        <v>6</v>
      </c>
      <c r="P17" s="335" t="s">
        <v>222</v>
      </c>
      <c r="Q17" s="336">
        <v>13</v>
      </c>
      <c r="R17" s="337" t="s">
        <v>359</v>
      </c>
      <c r="S17" s="334"/>
      <c r="T17" s="335" t="s">
        <v>222</v>
      </c>
      <c r="U17" s="336"/>
      <c r="V17" s="337"/>
      <c r="W17" s="385">
        <f t="shared" si="13"/>
        <v>1</v>
      </c>
      <c r="X17" s="912">
        <v>20</v>
      </c>
      <c r="Y17" s="358">
        <v>68</v>
      </c>
      <c r="Z17" s="334">
        <f t="shared" si="14"/>
        <v>42</v>
      </c>
      <c r="AA17" s="335" t="s">
        <v>222</v>
      </c>
      <c r="AB17" s="340">
        <f t="shared" si="15"/>
        <v>50</v>
      </c>
      <c r="AC17" s="341">
        <f t="shared" si="16"/>
        <v>-8</v>
      </c>
      <c r="AD17" s="211">
        <f t="shared" si="17"/>
        <v>12</v>
      </c>
      <c r="AE17" s="212">
        <f>IFERROR(INDEX(V!$R:$R,MATCH(AF17,V!$L:$L,0)),"")</f>
        <v>6</v>
      </c>
      <c r="AF17" s="213" t="str">
        <f t="shared" si="5"/>
        <v>Aigi Orro</v>
      </c>
      <c r="AG17" s="212">
        <f>IFERROR(INDEX(V!$R:$R,MATCH(AH17,V!$L:$L,0)),"")</f>
        <v>6</v>
      </c>
      <c r="AH17" s="213" t="str">
        <f t="shared" si="6"/>
        <v>Kalle Orro</v>
      </c>
      <c r="AI17" s="212" t="str">
        <f>IFERROR(INDEX(V!$R:$R,MATCH(AJ17,V!$L:$L,0)),"")</f>
        <v/>
      </c>
      <c r="AJ17" s="213" t="str">
        <f t="shared" si="7"/>
        <v/>
      </c>
      <c r="AK17" s="212" t="str">
        <f>IFERROR(INDEX(V!$R:$R,MATCH(AL17,V!$L:$L,0)),"")</f>
        <v/>
      </c>
      <c r="AL17" s="213" t="str">
        <f t="shared" si="8"/>
        <v/>
      </c>
      <c r="AM17" s="212" t="str">
        <f>IFERROR(INDEX(V!$R:$R,MATCH(AN17,V!$L:$L,0)),"")</f>
        <v/>
      </c>
      <c r="AN17" s="213" t="str">
        <f t="shared" si="9"/>
        <v/>
      </c>
      <c r="AO17" s="212" t="str">
        <f>IFERROR(INDEX(V!$R:$R,MATCH(AP17,V!$L:$L,0)),"")</f>
        <v/>
      </c>
      <c r="AP17" s="213" t="str">
        <f t="shared" si="10"/>
        <v/>
      </c>
    </row>
    <row r="18" spans="1:42" x14ac:dyDescent="0.2">
      <c r="A18" s="333">
        <v>12</v>
      </c>
      <c r="B18" s="255" t="s">
        <v>214</v>
      </c>
      <c r="C18" s="334">
        <v>7</v>
      </c>
      <c r="D18" s="335" t="s">
        <v>222</v>
      </c>
      <c r="E18" s="336">
        <v>13</v>
      </c>
      <c r="F18" s="337" t="s">
        <v>234</v>
      </c>
      <c r="G18" s="334">
        <v>3</v>
      </c>
      <c r="H18" s="335" t="s">
        <v>222</v>
      </c>
      <c r="I18" s="336">
        <v>13</v>
      </c>
      <c r="J18" s="337" t="s">
        <v>227</v>
      </c>
      <c r="K18" s="334">
        <v>13</v>
      </c>
      <c r="L18" s="335" t="s">
        <v>222</v>
      </c>
      <c r="M18" s="336">
        <v>9</v>
      </c>
      <c r="N18" s="337" t="s">
        <v>261</v>
      </c>
      <c r="O18" s="334">
        <v>12</v>
      </c>
      <c r="P18" s="335" t="s">
        <v>222</v>
      </c>
      <c r="Q18" s="336">
        <v>13</v>
      </c>
      <c r="R18" s="337" t="s">
        <v>360</v>
      </c>
      <c r="S18" s="334"/>
      <c r="T18" s="335" t="s">
        <v>222</v>
      </c>
      <c r="U18" s="336"/>
      <c r="V18" s="337"/>
      <c r="W18" s="385">
        <f t="shared" ref="W18:W19" si="18">IF(C18&gt;E18,Y$2,IF(C18&lt;E18,Y$4,IF(ISNUMBER(C18),Y$3,0)))+IF(G18&gt;I18,Y$2,IF(G18&lt;I18,Y$4,IF(ISNUMBER(G18),Y$3,0)))+IF(K18&gt;M18,Y$2,IF(K18&lt;M18,Y$4,IF(ISNUMBER(K18),Y$3,0)))+IF(O18&gt;Q18,Y$2,IF(O18&lt;Q18,Y$4,IF(ISNUMBER(O18),Y$3,0)))+IF(S18&gt;U18,Y$2,IF(S18&lt;U18,Y$4,IF(ISNUMBER(S18),Y$3,0)))</f>
        <v>1</v>
      </c>
      <c r="X18" s="912">
        <v>18</v>
      </c>
      <c r="Y18" s="914">
        <v>60</v>
      </c>
      <c r="Z18" s="334">
        <f t="shared" ref="Z18:Z19" si="19">C18+G18+K18+O18+S18</f>
        <v>35</v>
      </c>
      <c r="AA18" s="335" t="s">
        <v>222</v>
      </c>
      <c r="AB18" s="340">
        <f t="shared" ref="AB18:AB19" si="20">E18+I18+M18+Q18+U18</f>
        <v>48</v>
      </c>
      <c r="AC18" s="341">
        <f t="shared" ref="AC18:AC19" si="21">Z18-AB18</f>
        <v>-13</v>
      </c>
      <c r="AD18" s="211">
        <f t="shared" ref="AD18:AD19" si="22">SUM(AE18:AL18)</f>
        <v>71</v>
      </c>
      <c r="AE18" s="212">
        <f>IFERROR(INDEX(V!$R:$R,MATCH(AF18,V!$L:$L,0)),"")</f>
        <v>31</v>
      </c>
      <c r="AF18" s="213" t="str">
        <f t="shared" si="5"/>
        <v>Ljudmila Varendi</v>
      </c>
      <c r="AG18" s="212">
        <f>IFERROR(INDEX(V!$R:$R,MATCH(AH18,V!$L:$L,0)),"")</f>
        <v>40</v>
      </c>
      <c r="AH18" s="213" t="str">
        <f t="shared" si="6"/>
        <v>Viktor Švarõgin</v>
      </c>
      <c r="AI18" s="212" t="str">
        <f>IFERROR(INDEX(V!$R:$R,MATCH(AJ18,V!$L:$L,0)),"")</f>
        <v/>
      </c>
      <c r="AJ18" s="213" t="str">
        <f t="shared" si="7"/>
        <v/>
      </c>
      <c r="AK18" s="212" t="str">
        <f>IFERROR(INDEX(V!$R:$R,MATCH(AL18,V!$L:$L,0)),"")</f>
        <v/>
      </c>
      <c r="AL18" s="213" t="str">
        <f t="shared" si="8"/>
        <v/>
      </c>
      <c r="AM18" s="212" t="str">
        <f>IFERROR(INDEX(V!$R:$R,MATCH(AN18,V!$L:$L,0)),"")</f>
        <v/>
      </c>
      <c r="AN18" s="213" t="str">
        <f t="shared" si="9"/>
        <v/>
      </c>
      <c r="AO18" s="212" t="str">
        <f>IFERROR(INDEX(V!$R:$R,MATCH(AP18,V!$L:$L,0)),"")</f>
        <v/>
      </c>
      <c r="AP18" s="213" t="str">
        <f t="shared" si="10"/>
        <v/>
      </c>
    </row>
    <row r="19" spans="1:42" x14ac:dyDescent="0.2">
      <c r="A19" s="333">
        <v>13</v>
      </c>
      <c r="B19" s="255" t="s">
        <v>335</v>
      </c>
      <c r="C19" s="334">
        <v>3</v>
      </c>
      <c r="D19" s="335" t="s">
        <v>222</v>
      </c>
      <c r="E19" s="336">
        <v>13</v>
      </c>
      <c r="F19" s="337" t="s">
        <v>360</v>
      </c>
      <c r="G19" s="334">
        <v>13</v>
      </c>
      <c r="H19" s="335" t="s">
        <v>222</v>
      </c>
      <c r="I19" s="336">
        <v>7</v>
      </c>
      <c r="J19" s="337" t="s">
        <v>357</v>
      </c>
      <c r="K19" s="334">
        <v>4</v>
      </c>
      <c r="L19" s="335" t="s">
        <v>222</v>
      </c>
      <c r="M19" s="336">
        <v>13</v>
      </c>
      <c r="N19" s="337" t="s">
        <v>227</v>
      </c>
      <c r="O19" s="334">
        <v>10</v>
      </c>
      <c r="P19" s="335" t="s">
        <v>222</v>
      </c>
      <c r="Q19" s="336">
        <v>13</v>
      </c>
      <c r="R19" s="337" t="s">
        <v>361</v>
      </c>
      <c r="S19" s="334"/>
      <c r="T19" s="335" t="s">
        <v>222</v>
      </c>
      <c r="U19" s="336"/>
      <c r="V19" s="337"/>
      <c r="W19" s="385">
        <f t="shared" si="18"/>
        <v>1</v>
      </c>
      <c r="X19" s="912">
        <v>12</v>
      </c>
      <c r="Y19" s="358">
        <v>40</v>
      </c>
      <c r="Z19" s="334">
        <f t="shared" si="19"/>
        <v>30</v>
      </c>
      <c r="AA19" s="335" t="s">
        <v>222</v>
      </c>
      <c r="AB19" s="340">
        <f t="shared" si="20"/>
        <v>46</v>
      </c>
      <c r="AC19" s="341">
        <f t="shared" si="21"/>
        <v>-16</v>
      </c>
      <c r="AD19" s="211">
        <f t="shared" si="22"/>
        <v>80</v>
      </c>
      <c r="AE19" s="212">
        <f>IFERROR(INDEX(V!$R:$R,MATCH(AF19,V!$L:$L,0)),"")</f>
        <v>25</v>
      </c>
      <c r="AF19" s="213" t="str">
        <f t="shared" si="5"/>
        <v>Airi Veski</v>
      </c>
      <c r="AG19" s="212">
        <f>IFERROR(INDEX(V!$R:$R,MATCH(AH19,V!$L:$L,0)),"")</f>
        <v>55</v>
      </c>
      <c r="AH19" s="213" t="str">
        <f t="shared" si="6"/>
        <v>Svetlana Veski</v>
      </c>
      <c r="AI19" s="212" t="str">
        <f>IFERROR(INDEX(V!$R:$R,MATCH(AJ19,V!$L:$L,0)),"")</f>
        <v/>
      </c>
      <c r="AJ19" s="213" t="str">
        <f t="shared" si="7"/>
        <v/>
      </c>
      <c r="AK19" s="212" t="str">
        <f>IFERROR(INDEX(V!$R:$R,MATCH(AL19,V!$L:$L,0)),"")</f>
        <v/>
      </c>
      <c r="AL19" s="213" t="str">
        <f t="shared" si="8"/>
        <v/>
      </c>
      <c r="AM19" s="212" t="str">
        <f>IFERROR(INDEX(V!$R:$R,MATCH(AN19,V!$L:$L,0)),"")</f>
        <v/>
      </c>
      <c r="AN19" s="213" t="str">
        <f t="shared" si="9"/>
        <v/>
      </c>
      <c r="AO19" s="212" t="str">
        <f>IFERROR(INDEX(V!$R:$R,MATCH(AP19,V!$L:$L,0)),"")</f>
        <v/>
      </c>
      <c r="AP19" s="213" t="str">
        <f t="shared" si="10"/>
        <v/>
      </c>
    </row>
    <row r="22" spans="1:42" hidden="1" x14ac:dyDescent="0.2"/>
    <row r="23" spans="1:42" hidden="1" x14ac:dyDescent="0.2"/>
    <row r="24" spans="1:42" hidden="1" x14ac:dyDescent="0.2"/>
    <row r="25" spans="1:42" hidden="1" x14ac:dyDescent="0.2"/>
    <row r="26" spans="1:42" hidden="1" x14ac:dyDescent="0.2"/>
    <row r="27" spans="1:42" hidden="1" x14ac:dyDescent="0.2"/>
    <row r="28" spans="1:42" hidden="1" x14ac:dyDescent="0.2"/>
    <row r="29" spans="1:42" hidden="1" x14ac:dyDescent="0.2"/>
    <row r="30" spans="1:42" hidden="1" x14ac:dyDescent="0.2"/>
    <row r="31" spans="1:42" hidden="1" x14ac:dyDescent="0.2"/>
    <row r="32" spans="1:4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" hidden="1" x14ac:dyDescent="0.2"/>
    <row r="290" spans="1:3" hidden="1" x14ac:dyDescent="0.2"/>
    <row r="291" spans="1:3" hidden="1" x14ac:dyDescent="0.2"/>
    <row r="292" spans="1:3" hidden="1" x14ac:dyDescent="0.2"/>
    <row r="293" spans="1:3" hidden="1" x14ac:dyDescent="0.2"/>
    <row r="294" spans="1:3" hidden="1" x14ac:dyDescent="0.2"/>
    <row r="295" spans="1:3" hidden="1" x14ac:dyDescent="0.2"/>
    <row r="296" spans="1:3" hidden="1" x14ac:dyDescent="0.2"/>
    <row r="297" spans="1:3" hidden="1" x14ac:dyDescent="0.2"/>
    <row r="298" spans="1:3" hidden="1" x14ac:dyDescent="0.2"/>
    <row r="299" spans="1:3" x14ac:dyDescent="0.2">
      <c r="A299" s="157"/>
      <c r="B299" s="157"/>
      <c r="C299" s="207" t="s">
        <v>190</v>
      </c>
    </row>
    <row r="300" spans="1:3" x14ac:dyDescent="0.2">
      <c r="A300" s="301">
        <v>1</v>
      </c>
      <c r="B300" s="344" t="str">
        <f>IFERROR(INDEX(B$1:B$100,MATCH(A300,A$1:A$100,0)),"")</f>
        <v>Jaan Sepp, Oskar Sepp</v>
      </c>
      <c r="C300" s="274">
        <f>LARGE(A300:A399,1)*2+2-A300*2</f>
        <v>26</v>
      </c>
    </row>
    <row r="301" spans="1:3" x14ac:dyDescent="0.2">
      <c r="A301" s="301">
        <v>2</v>
      </c>
      <c r="B301" s="344" t="str">
        <f t="shared" ref="B301:B308" si="23">IFERROR(INDEX(B$1:B$100,MATCH(A301,A$1:A$100,0)),"")</f>
        <v>Henri Mitt, Urmas Randlaine</v>
      </c>
      <c r="C301" s="274">
        <f t="shared" ref="C301:C312" si="24">LARGE(A301:A400,1)*2+2-A301*2</f>
        <v>24</v>
      </c>
    </row>
    <row r="302" spans="1:3" x14ac:dyDescent="0.2">
      <c r="A302" s="301">
        <v>3</v>
      </c>
      <c r="B302" s="344" t="str">
        <f t="shared" si="23"/>
        <v>Enn Tokman, Kenneth Muusikus</v>
      </c>
      <c r="C302" s="274">
        <f t="shared" si="24"/>
        <v>22</v>
      </c>
    </row>
    <row r="303" spans="1:3" x14ac:dyDescent="0.2">
      <c r="A303" s="301">
        <v>4</v>
      </c>
      <c r="B303" s="344" t="str">
        <f t="shared" si="23"/>
        <v>Andrei Grintšak, Hillar Neiland</v>
      </c>
      <c r="C303" s="274">
        <f t="shared" si="24"/>
        <v>20</v>
      </c>
    </row>
    <row r="304" spans="1:3" x14ac:dyDescent="0.2">
      <c r="A304" s="301">
        <v>5</v>
      </c>
      <c r="B304" s="344" t="str">
        <f t="shared" si="23"/>
        <v>Kaspar Mänd, Matti Vinni</v>
      </c>
      <c r="C304" s="274">
        <f t="shared" si="24"/>
        <v>18</v>
      </c>
    </row>
    <row r="305" spans="1:3" x14ac:dyDescent="0.2">
      <c r="A305" s="301">
        <v>6</v>
      </c>
      <c r="B305" s="344" t="str">
        <f t="shared" si="23"/>
        <v>Olav Türk, Sander Rose</v>
      </c>
      <c r="C305" s="274">
        <f t="shared" si="24"/>
        <v>16</v>
      </c>
    </row>
    <row r="306" spans="1:3" x14ac:dyDescent="0.2">
      <c r="A306" s="301">
        <v>7</v>
      </c>
      <c r="B306" s="344" t="str">
        <f t="shared" si="23"/>
        <v>Jaan Saar, Sirje Maala</v>
      </c>
      <c r="C306" s="274">
        <f t="shared" si="24"/>
        <v>14</v>
      </c>
    </row>
    <row r="307" spans="1:3" x14ac:dyDescent="0.2">
      <c r="A307" s="301">
        <v>8</v>
      </c>
      <c r="B307" s="344" t="str">
        <f t="shared" si="23"/>
        <v>Oksana Rõndenkova, Oleg Rõndenkov</v>
      </c>
      <c r="C307" s="274">
        <f t="shared" si="24"/>
        <v>12</v>
      </c>
    </row>
    <row r="308" spans="1:3" x14ac:dyDescent="0.2">
      <c r="A308" s="301">
        <v>9</v>
      </c>
      <c r="B308" s="344" t="str">
        <f t="shared" si="23"/>
        <v>Lemmit Toomra, Tõnu Kapper</v>
      </c>
      <c r="C308" s="274">
        <f t="shared" si="24"/>
        <v>10</v>
      </c>
    </row>
    <row r="309" spans="1:3" x14ac:dyDescent="0.2">
      <c r="A309" s="301">
        <v>10</v>
      </c>
      <c r="B309" s="344" t="str">
        <f t="shared" ref="B309:B312" si="25">IFERROR(INDEX(B$1:B$100,MATCH(A309,A$1:A$100,0)),"")</f>
        <v>Annaliset Neiland, Oliver Ojasalu</v>
      </c>
      <c r="C309" s="274">
        <f t="shared" si="24"/>
        <v>8</v>
      </c>
    </row>
    <row r="310" spans="1:3" x14ac:dyDescent="0.2">
      <c r="A310" s="301">
        <v>11</v>
      </c>
      <c r="B310" s="344" t="str">
        <f t="shared" si="25"/>
        <v>Aigi Orro, Kalle Orro</v>
      </c>
      <c r="C310" s="274">
        <f t="shared" si="24"/>
        <v>6</v>
      </c>
    </row>
    <row r="311" spans="1:3" x14ac:dyDescent="0.2">
      <c r="A311" s="301">
        <v>12</v>
      </c>
      <c r="B311" s="344" t="str">
        <f t="shared" si="25"/>
        <v>Ljudmila Varendi, Viktor Švarõgin</v>
      </c>
      <c r="C311" s="274">
        <f t="shared" si="24"/>
        <v>4</v>
      </c>
    </row>
    <row r="312" spans="1:3" x14ac:dyDescent="0.2">
      <c r="A312" s="301">
        <v>13</v>
      </c>
      <c r="B312" s="344" t="str">
        <f t="shared" si="25"/>
        <v>Airi Veski, Svetlana Veski</v>
      </c>
      <c r="C312" s="274">
        <f t="shared" si="24"/>
        <v>2</v>
      </c>
    </row>
  </sheetData>
  <conditionalFormatting sqref="C7:C19 G7:G19 K7:K19 O7:O19 S7:S19">
    <cfRule type="expression" dxfId="364" priority="12">
      <formula>AND(C7=0,E7=13)</formula>
    </cfRule>
  </conditionalFormatting>
  <conditionalFormatting sqref="C7:C19">
    <cfRule type="expression" dxfId="363" priority="26">
      <formula>IF($C7&gt;$E7,TRUE)</formula>
    </cfRule>
  </conditionalFormatting>
  <conditionalFormatting sqref="E7:E19">
    <cfRule type="expression" dxfId="362" priority="27">
      <formula>IF($C7&lt;$E7,TRUE)</formula>
    </cfRule>
  </conditionalFormatting>
  <conditionalFormatting sqref="K7:K19">
    <cfRule type="expression" dxfId="361" priority="34">
      <formula>IF($K7&gt;$M7,TRUE)</formula>
    </cfRule>
  </conditionalFormatting>
  <conditionalFormatting sqref="M7:M19">
    <cfRule type="expression" dxfId="360" priority="35">
      <formula>IF($K7&lt;$M7,TRUE)</formula>
    </cfRule>
  </conditionalFormatting>
  <conditionalFormatting sqref="O7:O19">
    <cfRule type="expression" dxfId="359" priority="38">
      <formula>IF($O7&gt;$Q7,TRUE)</formula>
    </cfRule>
  </conditionalFormatting>
  <conditionalFormatting sqref="Q7:Q19">
    <cfRule type="expression" dxfId="358" priority="39">
      <formula>IF($O7&lt;$Q7,TRUE)</formula>
    </cfRule>
  </conditionalFormatting>
  <conditionalFormatting sqref="S7:S19">
    <cfRule type="expression" dxfId="357" priority="42">
      <formula>IF($S7&gt;$U7,TRUE)</formula>
    </cfRule>
  </conditionalFormatting>
  <conditionalFormatting sqref="U7:U19">
    <cfRule type="expression" dxfId="356" priority="43">
      <formula>IF($S7&lt;$U7,TRUE)</formula>
    </cfRule>
  </conditionalFormatting>
  <conditionalFormatting sqref="G7:G19">
    <cfRule type="expression" dxfId="355" priority="30">
      <formula>IF($G7&gt;$I7,TRUE)</formula>
    </cfRule>
  </conditionalFormatting>
  <conditionalFormatting sqref="I7:I19">
    <cfRule type="expression" dxfId="354" priority="31">
      <formula>IF($G7&lt;$I7,TRUE)</formula>
    </cfRule>
  </conditionalFormatting>
  <conditionalFormatting sqref="F7:F19">
    <cfRule type="containsText" dxfId="353" priority="17" operator="containsText" text="vaba voor">
      <formula>NOT(ISERROR(SEARCH("vaba voor",F7)))</formula>
    </cfRule>
  </conditionalFormatting>
  <conditionalFormatting sqref="N7:N19">
    <cfRule type="containsText" dxfId="352" priority="15" operator="containsText" text="vaba voor">
      <formula>NOT(ISERROR(SEARCH("vaba voor",N7)))</formula>
    </cfRule>
  </conditionalFormatting>
  <conditionalFormatting sqref="R7:R19">
    <cfRule type="containsText" dxfId="351" priority="18" operator="containsText" text="vaba voor">
      <formula>NOT(ISERROR(SEARCH("vaba voor",R7)))</formula>
    </cfRule>
  </conditionalFormatting>
  <conditionalFormatting sqref="V7:V19">
    <cfRule type="containsText" dxfId="350" priority="14" operator="containsText" text="vaba voor">
      <formula>NOT(ISERROR(SEARCH("vaba voor",V7)))</formula>
    </cfRule>
  </conditionalFormatting>
  <conditionalFormatting sqref="J7:J19">
    <cfRule type="containsText" dxfId="349" priority="16" operator="containsText" text="vaba voor">
      <formula>NOT(ISERROR(SEARCH("vaba voor",J7)))</formula>
    </cfRule>
  </conditionalFormatting>
  <conditionalFormatting sqref="C7:F19">
    <cfRule type="expression" dxfId="348" priority="22">
      <formula>IF(AND(ISNUMBER($C7),$C7=$E7),TRUE)</formula>
    </cfRule>
    <cfRule type="expression" dxfId="347" priority="24">
      <formula>IF($C7&gt;$E7,TRUE)</formula>
    </cfRule>
    <cfRule type="expression" dxfId="346" priority="25">
      <formula>IF($C7&lt;$E7,TRUE)</formula>
    </cfRule>
  </conditionalFormatting>
  <conditionalFormatting sqref="G7:J19">
    <cfRule type="expression" dxfId="345" priority="23">
      <formula>IF(AND(ISNUMBER($G7),$G7=$I7),TRUE)</formula>
    </cfRule>
    <cfRule type="expression" dxfId="344" priority="28">
      <formula>IF($G7&gt;$I7,TRUE)</formula>
    </cfRule>
    <cfRule type="expression" dxfId="343" priority="29">
      <formula>IF($G7&lt;$I7,TRUE)</formula>
    </cfRule>
  </conditionalFormatting>
  <conditionalFormatting sqref="K7:N19">
    <cfRule type="expression" dxfId="342" priority="21">
      <formula>IF(AND(ISNUMBER($K7),$K7=$M7),TRUE)</formula>
    </cfRule>
    <cfRule type="expression" dxfId="341" priority="32">
      <formula>IF($K7&gt;$M7,TRUE)</formula>
    </cfRule>
    <cfRule type="expression" dxfId="340" priority="33">
      <formula>IF($K7&lt;$M7,TRUE)</formula>
    </cfRule>
  </conditionalFormatting>
  <conditionalFormatting sqref="O7:R19">
    <cfRule type="expression" dxfId="339" priority="20">
      <formula>IF(AND(ISNUMBER($O7),$O7=$Q7),TRUE)</formula>
    </cfRule>
    <cfRule type="expression" dxfId="338" priority="36">
      <formula>IF($O7&gt;$Q7,TRUE)</formula>
    </cfRule>
    <cfRule type="expression" dxfId="337" priority="37">
      <formula>IF($O7&lt;$Q7,TRUE)</formula>
    </cfRule>
  </conditionalFormatting>
  <conditionalFormatting sqref="S7:V19">
    <cfRule type="expression" dxfId="336" priority="19">
      <formula>IF(AND(ISNUMBER($S7),$S7=$U7),TRUE)</formula>
    </cfRule>
    <cfRule type="expression" dxfId="335" priority="40">
      <formula>IF($S7&gt;$U7,TRUE)</formula>
    </cfRule>
    <cfRule type="expression" dxfId="334" priority="41">
      <formula>IF($S7&lt;$U7,TRUE)</formula>
    </cfRule>
  </conditionalFormatting>
  <conditionalFormatting sqref="E7:E19 I7:I19 M7:M19 Q7:Q19 U7:U19">
    <cfRule type="expression" dxfId="333" priority="13">
      <formula>AND(E7=0,C7=13)</formula>
    </cfRule>
  </conditionalFormatting>
  <conditionalFormatting sqref="A7:A19">
    <cfRule type="duplicateValues" dxfId="332" priority="44"/>
  </conditionalFormatting>
  <conditionalFormatting sqref="AJ7:AJ19">
    <cfRule type="expression" dxfId="331" priority="5">
      <formula>AND(AI7="",FIND(",",AJ7))</formula>
    </cfRule>
    <cfRule type="expression" dxfId="330" priority="7">
      <formula>AND(AI7="",COUNTIF(AJ7,"*,*")=0)</formula>
    </cfRule>
  </conditionalFormatting>
  <conditionalFormatting sqref="AH7:AH19">
    <cfRule type="expression" dxfId="329" priority="8">
      <formula>AND(AG7="",FIND(",",AH7))</formula>
    </cfRule>
    <cfRule type="expression" dxfId="328" priority="9">
      <formula>AND(AG7="",COUNTIF(AH7,"*,*")=0)</formula>
    </cfRule>
  </conditionalFormatting>
  <conditionalFormatting sqref="AL7:AL19">
    <cfRule type="expression" dxfId="327" priority="10">
      <formula>AND(AK7="",FIND(",",AL7))</formula>
    </cfRule>
    <cfRule type="expression" dxfId="326" priority="11">
      <formula>AND(AK7="",COUNTIF(AL7,"*,*")=0)</formula>
    </cfRule>
  </conditionalFormatting>
  <conditionalFormatting sqref="AF7:AF19">
    <cfRule type="expression" dxfId="325" priority="6">
      <formula>AND(AE7="",COUNTIF(AF7,"*,*")=0)</formula>
    </cfRule>
  </conditionalFormatting>
  <conditionalFormatting sqref="AN7:AN19">
    <cfRule type="expression" dxfId="324" priority="2">
      <formula>AND(AM7="",COUNTIF(AN7,"*,*")=0)</formula>
    </cfRule>
    <cfRule type="expression" dxfId="323" priority="4">
      <formula>AND(AM7="",FIND(",",AN7))</formula>
    </cfRule>
  </conditionalFormatting>
  <conditionalFormatting sqref="AP7:AP19">
    <cfRule type="expression" dxfId="322" priority="1">
      <formula>AND(AO7="",COUNTIF(AP7,"*,*")=0)</formula>
    </cfRule>
    <cfRule type="expression" dxfId="321" priority="3">
      <formula>AND(AO7="",FIND(",",AP7))</formula>
    </cfRule>
  </conditionalFormatting>
  <conditionalFormatting sqref="B300:B312">
    <cfRule type="expression" dxfId="320" priority="45">
      <formula>A300=3</formula>
    </cfRule>
    <cfRule type="expression" dxfId="319" priority="46">
      <formula>A300=2</formula>
    </cfRule>
    <cfRule type="expression" dxfId="318" priority="47">
      <formula>A300=1</formula>
    </cfRule>
    <cfRule type="containsBlanks" dxfId="317" priority="48">
      <formula>LEN(TRIM(B300))=0</formula>
    </cfRule>
    <cfRule type="duplicateValues" dxfId="316" priority="49"/>
  </conditionalFormatting>
  <pageMargins left="0.39370078740157483" right="0.27559055118110237" top="0.78740157480314965" bottom="0.39370078740157483" header="0.78740157480314965" footer="0"/>
  <pageSetup paperSize="9" scale="99" fitToHeight="0" orientation="landscape" verticalDpi="1200" r:id="rId1"/>
  <headerFooter>
    <oddHeader>&amp;R&amp;P. leht &amp;N&amp; -st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06"/>
  <sheetViews>
    <sheetView showGridLines="0" showRowColHeaders="0" workbookViewId="0">
      <pane ySplit="1" topLeftCell="A2" activePane="bottomLeft" state="frozen"/>
      <selection pane="bottomLeft" activeCell="AR63" sqref="AR63"/>
    </sheetView>
  </sheetViews>
  <sheetFormatPr defaultRowHeight="12.75" x14ac:dyDescent="0.2"/>
  <cols>
    <col min="1" max="1" width="3.28515625" style="1" customWidth="1"/>
    <col min="2" max="2" width="56" style="1" bestFit="1" customWidth="1"/>
    <col min="3" max="9" width="5.85546875" style="1" customWidth="1"/>
    <col min="10" max="10" width="5.5703125" style="1" customWidth="1"/>
    <col min="11" max="11" width="5.5703125" style="1" hidden="1" customWidth="1"/>
    <col min="12" max="12" width="5.5703125" style="1" customWidth="1"/>
    <col min="13" max="15" width="5.5703125" style="1" hidden="1" customWidth="1"/>
    <col min="16" max="18" width="9.140625" style="1" hidden="1" customWidth="1"/>
    <col min="19" max="19" width="11.5703125" style="1" hidden="1" customWidth="1"/>
    <col min="20" max="20" width="9.140625" style="1" hidden="1" customWidth="1"/>
    <col min="21" max="21" width="9.140625" style="1"/>
    <col min="22" max="27" width="0" style="1" hidden="1" customWidth="1"/>
    <col min="28" max="28" width="9.140625" style="1" hidden="1" customWidth="1"/>
    <col min="29" max="29" width="9.140625" style="1" customWidth="1"/>
    <col min="30" max="31" width="9.140625" style="1" hidden="1" customWidth="1"/>
    <col min="32" max="32" width="18.140625" style="1" hidden="1" customWidth="1"/>
    <col min="33" max="33" width="9.140625" style="1" hidden="1" customWidth="1"/>
    <col min="34" max="34" width="32.140625" style="1" hidden="1" customWidth="1"/>
    <col min="35" max="35" width="9.140625" style="1" hidden="1" customWidth="1"/>
    <col min="36" max="36" width="17.28515625" style="1" hidden="1" customWidth="1"/>
    <col min="37" max="37" width="9.140625" style="1" hidden="1" customWidth="1"/>
    <col min="38" max="38" width="17" style="1" hidden="1" customWidth="1"/>
    <col min="39" max="39" width="9.140625" style="1" hidden="1" customWidth="1"/>
    <col min="40" max="40" width="17.28515625" style="1" hidden="1" customWidth="1"/>
    <col min="41" max="41" width="9.140625" style="1" hidden="1" customWidth="1"/>
    <col min="42" max="42" width="13.85546875" style="1" hidden="1" customWidth="1"/>
    <col min="43" max="16384" width="9.140625" style="1"/>
  </cols>
  <sheetData>
    <row r="1" spans="1:42" x14ac:dyDescent="0.2">
      <c r="A1" s="206" t="str">
        <f>UPPER((Kalend!E29)&amp;" - "&amp;(Kalend!C29))&amp;" - "&amp;LOWER(Kalend!D29)&amp;" - "&amp;(Kalend!A29)&amp;" kell "&amp;(Kalend!B29)&amp;" - "&amp;(Kalend!F29)</f>
        <v>V10 - VOKA IV SISE-KV 10. ETAPP - trio - P, 24.04.2022 kell 11:00 - Voka petangihall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P1" s="232" t="s">
        <v>71</v>
      </c>
      <c r="Q1" s="233"/>
      <c r="R1" s="233"/>
      <c r="S1" s="233"/>
      <c r="T1" s="233"/>
      <c r="U1" s="40"/>
      <c r="V1" s="171"/>
      <c r="W1" s="157"/>
      <c r="X1" s="157"/>
      <c r="Y1" s="157"/>
      <c r="AD1" s="44" t="s">
        <v>71</v>
      </c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303"/>
      <c r="AP1" s="303"/>
    </row>
    <row r="2" spans="1:42" x14ac:dyDescent="0.2">
      <c r="A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157"/>
      <c r="Q2" s="157"/>
      <c r="R2" s="157"/>
      <c r="S2" s="157"/>
      <c r="T2" s="214"/>
      <c r="U2" s="214"/>
      <c r="V2" s="157"/>
      <c r="W2" s="157"/>
      <c r="X2" s="157"/>
      <c r="AD2" s="157"/>
      <c r="AE2" s="157"/>
      <c r="AF2" s="157"/>
      <c r="AG2" s="157"/>
      <c r="AH2" s="157"/>
      <c r="AI2" s="157"/>
      <c r="AJ2" s="217"/>
      <c r="AK2" s="157"/>
      <c r="AL2" s="157"/>
      <c r="AM2" s="157"/>
      <c r="AN2" s="157"/>
    </row>
    <row r="3" spans="1:42" x14ac:dyDescent="0.2">
      <c r="A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157"/>
      <c r="Q3" s="157"/>
      <c r="R3" s="157"/>
      <c r="S3" s="157"/>
      <c r="T3" s="214"/>
      <c r="U3" s="214"/>
      <c r="V3" s="157"/>
      <c r="W3" s="157"/>
      <c r="X3" s="157"/>
      <c r="Y3" s="157"/>
      <c r="AE3" s="157"/>
      <c r="AG3" s="157"/>
      <c r="AH3" s="157"/>
      <c r="AI3" s="157"/>
      <c r="AJ3" s="157"/>
      <c r="AK3" s="157"/>
      <c r="AL3" s="157"/>
      <c r="AM3" s="157"/>
      <c r="AN3" s="157"/>
    </row>
    <row r="4" spans="1:42" x14ac:dyDescent="0.2">
      <c r="A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157"/>
      <c r="Q4" s="157"/>
      <c r="R4" s="157"/>
      <c r="S4" s="157"/>
      <c r="T4" s="157"/>
      <c r="U4" s="157"/>
      <c r="V4" s="157"/>
      <c r="W4" s="157"/>
      <c r="X4" s="157"/>
      <c r="Y4" s="157"/>
      <c r="AE4" s="214"/>
      <c r="AF4" s="214"/>
      <c r="AG4" s="214"/>
      <c r="AH4" s="205"/>
      <c r="AI4" s="214"/>
      <c r="AJ4" s="214"/>
      <c r="AK4" s="214"/>
      <c r="AL4" s="214"/>
      <c r="AM4" s="214"/>
      <c r="AN4" s="214"/>
      <c r="AO4" s="214"/>
      <c r="AP4" s="214"/>
    </row>
    <row r="5" spans="1:42" x14ac:dyDescent="0.2">
      <c r="C5" s="253"/>
      <c r="D5" s="253"/>
      <c r="E5" s="253"/>
      <c r="F5" s="253"/>
      <c r="G5" s="253"/>
      <c r="H5" s="253"/>
      <c r="I5" s="253"/>
      <c r="J5" s="253"/>
      <c r="K5" s="253"/>
      <c r="L5" s="363" t="s">
        <v>231</v>
      </c>
      <c r="M5" s="253"/>
      <c r="O5" s="253"/>
      <c r="P5" s="157"/>
      <c r="Q5" s="157"/>
      <c r="R5" s="157"/>
      <c r="S5" s="157"/>
      <c r="T5" s="157"/>
      <c r="U5" s="157"/>
      <c r="V5" s="157"/>
      <c r="W5" s="157"/>
      <c r="X5" s="157"/>
      <c r="Y5" s="157"/>
      <c r="AA5" s="157"/>
      <c r="AD5" s="360" t="s">
        <v>176</v>
      </c>
    </row>
    <row r="6" spans="1:42" x14ac:dyDescent="0.2">
      <c r="A6" s="188" t="s">
        <v>0</v>
      </c>
      <c r="B6" s="242"/>
      <c r="C6" s="243">
        <v>1</v>
      </c>
      <c r="D6" s="243">
        <v>2</v>
      </c>
      <c r="E6" s="243">
        <v>3</v>
      </c>
      <c r="F6" s="243"/>
      <c r="G6" s="243"/>
      <c r="H6" s="243" t="s">
        <v>130</v>
      </c>
      <c r="I6" s="161" t="s">
        <v>131</v>
      </c>
      <c r="J6" s="245" t="s">
        <v>199</v>
      </c>
      <c r="K6" s="246" t="s">
        <v>200</v>
      </c>
      <c r="L6" s="247" t="s">
        <v>201</v>
      </c>
      <c r="M6" s="247" t="s">
        <v>202</v>
      </c>
      <c r="N6" s="248" t="s">
        <v>132</v>
      </c>
      <c r="O6" s="248" t="s">
        <v>132</v>
      </c>
      <c r="P6" s="249" t="s">
        <v>203</v>
      </c>
      <c r="Q6" s="250" t="s">
        <v>21</v>
      </c>
      <c r="R6" s="250" t="b">
        <f>OR(AND(COUNTA(B7:B11)=3,COUNTA(C7:G11)=6),AND(COUNTA(B7:B11)=4,COUNTA(C7:G11)=12),AND(COUNTA(B7:B11)=5,COUNTA(C7:G11)=20))</f>
        <v>1</v>
      </c>
      <c r="S6" s="251" t="s">
        <v>204</v>
      </c>
      <c r="T6" s="252" t="s">
        <v>205</v>
      </c>
      <c r="U6" s="253"/>
      <c r="V6" s="253"/>
      <c r="W6" s="253"/>
      <c r="X6" s="253"/>
      <c r="Y6" s="253"/>
      <c r="Z6" s="253"/>
      <c r="AA6" s="254"/>
      <c r="AD6" s="158" t="s">
        <v>224</v>
      </c>
      <c r="AE6" s="159"/>
      <c r="AF6" s="159" t="s">
        <v>191</v>
      </c>
      <c r="AG6" s="159"/>
      <c r="AH6" s="209" t="s">
        <v>192</v>
      </c>
      <c r="AI6" s="159"/>
      <c r="AJ6" s="159" t="s">
        <v>193</v>
      </c>
      <c r="AK6" s="160"/>
      <c r="AL6" s="159" t="s">
        <v>194</v>
      </c>
      <c r="AM6" s="160"/>
      <c r="AN6" s="160" t="s">
        <v>229</v>
      </c>
      <c r="AO6" s="359"/>
      <c r="AP6" s="160" t="s">
        <v>230</v>
      </c>
    </row>
    <row r="7" spans="1:42" x14ac:dyDescent="0.2">
      <c r="A7" s="188">
        <v>1</v>
      </c>
      <c r="B7" s="255" t="s">
        <v>351</v>
      </c>
      <c r="C7" s="191"/>
      <c r="D7" s="190">
        <v>10</v>
      </c>
      <c r="E7" s="190">
        <v>13</v>
      </c>
      <c r="F7" s="190"/>
      <c r="G7" s="190"/>
      <c r="H7" s="189" t="str">
        <f>(IF(D7-C8&gt;0,1)+IF(E7-C9&gt;0,1)+IF(F7-C10&gt;0,1)+IF(G7-C11&gt;0,1))&amp;"-"&amp;(IF(D7-C8&lt;0,1)+IF(E7-C9&lt;0,1)+IF(F7-C10&lt;0,1)+IF(G7-C11&lt;0,1))</f>
        <v>1-1</v>
      </c>
      <c r="I7" s="190" t="str">
        <f>IF(AND(B7&lt;&gt;"",R$6=TRUE),A$6&amp;RANK(S7,S$7:S$11,0)," ")</f>
        <v>A3</v>
      </c>
      <c r="J7" s="256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1</v>
      </c>
      <c r="K7" s="257">
        <f>SUM(AND(T7=T8,D7&gt;C8),AND(T7=T9,E7&gt;C9),AND(T7=T10,F7&gt;C10),AND(T7=T11,G7&gt;C11))</f>
        <v>1</v>
      </c>
      <c r="L7" s="258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-2</v>
      </c>
      <c r="M7" s="259">
        <f>SUM(AND(R7=R8,D7&gt;C8),AND(R7=R9,E7&gt;C9),AND(R7=R10,F7&gt;C10),AND(R7=R11,G7&gt;C11))</f>
        <v>0</v>
      </c>
      <c r="N7" s="305" t="str">
        <f>SUM(C7:G7)&amp;"-"&amp;SUM(C7:C11)</f>
        <v>23-25</v>
      </c>
      <c r="O7" s="306">
        <f>D7+E7+F7+G7-C8-C9-C10-C11</f>
        <v>-2</v>
      </c>
      <c r="P7" s="260">
        <f>SUM(C7:G7,C7:C11)/SUM(C7:C11)</f>
        <v>1.92</v>
      </c>
      <c r="Q7" s="192">
        <f>VALUE(LEFT(H7,1))</f>
        <v>1</v>
      </c>
      <c r="R7" s="193">
        <f>Q7*100000+J7*10000+K7*1000+100*L7</f>
        <v>110800</v>
      </c>
      <c r="S7" s="261">
        <f>R7+M7*0.1+IF(ISNONTEXT(B7),0,0.01)+0.0001*O7</f>
        <v>110800.0098</v>
      </c>
      <c r="T7" s="262" t="str">
        <f>Q7&amp;J7</f>
        <v>11</v>
      </c>
      <c r="U7" s="253"/>
      <c r="V7" s="253"/>
      <c r="W7" s="253"/>
      <c r="X7" s="253"/>
      <c r="Y7" s="253"/>
      <c r="Z7" s="253"/>
      <c r="AA7" s="253"/>
      <c r="AD7" s="211">
        <f t="shared" ref="AD7:AD44" si="0">SUM(AE7:AP7)</f>
        <v>392</v>
      </c>
      <c r="AE7" s="212">
        <f>IFERROR(INDEX(V!$R:$R,MATCH(AF7,V!$L:$L,0)),"")</f>
        <v>141</v>
      </c>
      <c r="AF7" s="213" t="str">
        <f>IFERROR(LEFT($B7,(FIND(",",$B7,1)-1)),"")</f>
        <v>Enn Tokman</v>
      </c>
      <c r="AG7" s="212" t="str">
        <f>IFERROR(INDEX(V!$R:$R,MATCH(AH7,V!$L:$L,0)),"")</f>
        <v/>
      </c>
      <c r="AH7" s="213" t="str">
        <f>IFERROR(MID($B7,FIND(", ",$B7)+2,256),"")</f>
        <v>Kenneth Muusikus, Sander Rose</v>
      </c>
      <c r="AI7" s="212">
        <f>IFERROR(INDEX(V!$R:$R,MATCH(AJ7,V!$L:$L,0)),"")</f>
        <v>141</v>
      </c>
      <c r="AJ7" s="213" t="str">
        <f>IFERROR(MID($B7,FIND("^",SUBSTITUTE($B7,", ","^",1))+2,FIND("^",SUBSTITUTE($B7,", ","^",2))-FIND("^",SUBSTITUTE($B7,", ","^",1))-2),"")</f>
        <v>Kenneth Muusikus</v>
      </c>
      <c r="AK7" s="212">
        <f>IFERROR(INDEX(V!$R:$R,MATCH(AL7,V!$L:$L,0)),"")</f>
        <v>110</v>
      </c>
      <c r="AL7" s="213" t="str">
        <f>IFERROR(MID($B7,FIND(", ",$B7,FIND(", ",$B7,FIND(", ",$B7))+1)+2,30000),"")</f>
        <v>Sander Rose</v>
      </c>
      <c r="AM7" s="212" t="str">
        <f>IFERROR(INDEX(V!$R:$R,MATCH(AN7,V!$L:$L,0)),"")</f>
        <v/>
      </c>
      <c r="AN7" s="213" t="str">
        <f>IFERROR(MID($B7,FIND(", ",$B7,FIND(", ",$B7)+1)+2,FIND(", ",$B7,FIND(", ",$B7,FIND(", ",$B7)+1)+1)-FIND(", ",$B7,FIND(", ",$B7)+1)-2),"")</f>
        <v/>
      </c>
      <c r="AO7" s="212" t="str">
        <f>IFERROR(INDEX(V!$R:$R,MATCH(AP7,V!$L:$L,0)),"")</f>
        <v/>
      </c>
      <c r="AP7" s="213" t="str">
        <f>IFERROR(MID($B7,FIND(", ",$B7,FIND(", ",$B7,FIND(", ",$B7)+1)+1)+2,30000),"")</f>
        <v/>
      </c>
    </row>
    <row r="8" spans="1:42" x14ac:dyDescent="0.2">
      <c r="A8" s="188">
        <v>2</v>
      </c>
      <c r="B8" s="263" t="s">
        <v>372</v>
      </c>
      <c r="C8" s="190">
        <v>13</v>
      </c>
      <c r="D8" s="191"/>
      <c r="E8" s="190">
        <v>8</v>
      </c>
      <c r="F8" s="190"/>
      <c r="G8" s="190"/>
      <c r="H8" s="189" t="str">
        <f>(IF(C8-D7&gt;0,1)+IF(E8-D9&gt;0,1)+IF(F8-D10&gt;0,1)+IF(G8-D11&gt;0,1))&amp;"-"&amp;(IF(C8-D7&lt;0,1)+IF(E8-D9&lt;0,1)+IF(F8-D10&lt;0,1)+IF(G8-D11&lt;0,1))</f>
        <v>1-1</v>
      </c>
      <c r="I8" s="190" t="str">
        <f>IF(AND(B8&lt;&gt;"",R$6=TRUE),A$6&amp;RANK(S8,S$7:S$11,0)," ")</f>
        <v>A2</v>
      </c>
      <c r="J8" s="264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1</v>
      </c>
      <c r="K8" s="259">
        <f>SUM(AND(T8=T7,C8&gt;D7),AND(T8=T9,E8&gt;D9),AND(T8=T10,F8&gt;D10),AND(T8=T11,G8&gt;D11))</f>
        <v>1</v>
      </c>
      <c r="L8" s="265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-2</v>
      </c>
      <c r="M8" s="259">
        <f>SUM(AND(R8=R7,C8&gt;D7),AND(R8=R9,E8&gt;D9),AND(R8=R10,F8&gt;D10),AND(R8=R11,G8&gt;D11))</f>
        <v>1</v>
      </c>
      <c r="N8" s="305" t="str">
        <f>SUM(C8:G8)&amp;"-"&amp;SUM(D7:D11)</f>
        <v>21-23</v>
      </c>
      <c r="O8" s="306">
        <f>C8+E8+F8+G8-D7-D9-D10-D11</f>
        <v>-2</v>
      </c>
      <c r="P8" s="260">
        <f>SUM(C8:G8,D7:D11)/SUM(D7:D11)</f>
        <v>1.9130434782608696</v>
      </c>
      <c r="Q8" s="266">
        <f>VALUE(LEFT(H8,1))</f>
        <v>1</v>
      </c>
      <c r="R8" s="193">
        <f>Q8*100000+J8*10000+K8*1000+100*L8</f>
        <v>110800</v>
      </c>
      <c r="S8" s="261">
        <f>R8+M8*0.1+IF(ISNONTEXT(B8),0,0.01)+0.0001*O8</f>
        <v>110800.10980000001</v>
      </c>
      <c r="T8" s="262" t="str">
        <f>Q8&amp;J8</f>
        <v>11</v>
      </c>
      <c r="U8" s="253"/>
      <c r="V8" s="253"/>
      <c r="W8" s="253"/>
      <c r="X8" s="253"/>
      <c r="Y8" s="253"/>
      <c r="Z8" s="253"/>
      <c r="AA8" s="260"/>
      <c r="AD8" s="211">
        <f t="shared" si="0"/>
        <v>309</v>
      </c>
      <c r="AE8" s="212">
        <f>IFERROR(INDEX(V!$R:$R,MATCH(AF8,V!$L:$L,0)),"")</f>
        <v>98</v>
      </c>
      <c r="AF8" s="213" t="str">
        <f t="shared" ref="AF8:AF44" si="1">IFERROR(LEFT($B8,(FIND(",",$B8,1)-1)),"")</f>
        <v>Annaliset Neiland</v>
      </c>
      <c r="AG8" s="212" t="str">
        <f>IFERROR(INDEX(V!$R:$R,MATCH(AH8,V!$L:$L,0)),"")</f>
        <v/>
      </c>
      <c r="AH8" s="213" t="str">
        <f t="shared" ref="AH8:AH44" si="2">IFERROR(MID($B8,FIND(", ",$B8)+2,256),"")</f>
        <v>Henri Mitt, Oliver Ojasalu</v>
      </c>
      <c r="AI8" s="212">
        <f>IFERROR(INDEX(V!$R:$R,MATCH(AJ8,V!$L:$L,0)),"")</f>
        <v>159</v>
      </c>
      <c r="AJ8" s="213" t="str">
        <f t="shared" ref="AJ8:AJ44" si="3">IFERROR(MID($B8,FIND("^",SUBSTITUTE($B8,", ","^",1))+2,FIND("^",SUBSTITUTE($B8,", ","^",2))-FIND("^",SUBSTITUTE($B8,", ","^",1))-2),"")</f>
        <v>Henri Mitt</v>
      </c>
      <c r="AK8" s="212">
        <f>IFERROR(INDEX(V!$R:$R,MATCH(AL8,V!$L:$L,0)),"")</f>
        <v>52</v>
      </c>
      <c r="AL8" s="213" t="str">
        <f t="shared" ref="AL8:AL44" si="4">IFERROR(MID($B8,FIND(", ",$B8,FIND(", ",$B8,FIND(", ",$B8))+1)+2,30000),"")</f>
        <v>Oliver Ojasalu</v>
      </c>
      <c r="AM8" s="212" t="str">
        <f>IFERROR(INDEX(V!$R:$R,MATCH(AN8,V!$L:$L,0)),"")</f>
        <v/>
      </c>
      <c r="AN8" s="213" t="str">
        <f t="shared" ref="AN8:AN44" si="5">IFERROR(MID($B8,FIND(", ",$B8,FIND(", ",$B8)+1)+2,FIND(", ",$B8,FIND(", ",$B8,FIND(", ",$B8)+1)+1)-FIND(", ",$B8,FIND(", ",$B8)+1)-2),"")</f>
        <v/>
      </c>
      <c r="AO8" s="212" t="str">
        <f>IFERROR(INDEX(V!$R:$R,MATCH(AP8,V!$L:$L,0)),"")</f>
        <v/>
      </c>
      <c r="AP8" s="213" t="str">
        <f t="shared" ref="AP8:AP44" si="6">IFERROR(MID($B8,FIND(", ",$B8,FIND(", ",$B8,FIND(", ",$B8)+1)+1)+2,30000),"")</f>
        <v/>
      </c>
    </row>
    <row r="9" spans="1:42" x14ac:dyDescent="0.2">
      <c r="A9" s="188">
        <v>3</v>
      </c>
      <c r="B9" s="263" t="s">
        <v>353</v>
      </c>
      <c r="C9" s="190">
        <v>12</v>
      </c>
      <c r="D9" s="267">
        <v>13</v>
      </c>
      <c r="E9" s="191"/>
      <c r="F9" s="190"/>
      <c r="G9" s="190"/>
      <c r="H9" s="189" t="str">
        <f>(IF(C9-E7&gt;0,1)+IF(D9-E8&gt;0,1)+IF(F9-E10&gt;0,1)+IF(G9-E11&gt;0,1))&amp;"-"&amp;(IF(C9-E7&lt;0,1)+IF(D9-E8&lt;0,1)+IF(F9-E10&lt;0,1)+IF(G9-E11&lt;0,1))</f>
        <v>1-1</v>
      </c>
      <c r="I9" s="190" t="str">
        <f>IF(AND(B9&lt;&gt;"",R$6=TRUE),A$6&amp;RANK(S9,S$7:S$11,0)," ")</f>
        <v>A1</v>
      </c>
      <c r="J9" s="264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1</v>
      </c>
      <c r="K9" s="259">
        <f>SUM(AND(T9=T7,C9&gt;E7),AND(T9=T8,D9&gt;E8),AND(T9=T10,F9&gt;E10),AND(T9=T11,G9&gt;E11))</f>
        <v>1</v>
      </c>
      <c r="L9" s="265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4</v>
      </c>
      <c r="M9" s="259">
        <f>SUM(AND(R9=R7,C9&gt;E7),AND(R9=R8,D9&gt;E8),AND(R9=R10,F9&gt;E10),AND(R9=R11,G9&gt;E11))</f>
        <v>0</v>
      </c>
      <c r="N9" s="305" t="str">
        <f>SUM(C9:G9)&amp;"-"&amp;SUM(E7:E11)</f>
        <v>25-21</v>
      </c>
      <c r="O9" s="306">
        <f>C9+D9+F9+G9-E7-E8-E10-E11</f>
        <v>4</v>
      </c>
      <c r="P9" s="260">
        <f>SUM(C9:G9,E7:E11)/SUM(E7:E11)</f>
        <v>2.1904761904761907</v>
      </c>
      <c r="Q9" s="266">
        <f>VALUE(LEFT(H9,1))</f>
        <v>1</v>
      </c>
      <c r="R9" s="193">
        <f>Q9*100000+J9*10000+K9*1000+100*L9</f>
        <v>111400</v>
      </c>
      <c r="S9" s="261">
        <f>R9+M9*0.1+IF(ISNONTEXT(B9),0,0.01)+0.0001*O9</f>
        <v>111400.0104</v>
      </c>
      <c r="T9" s="262" t="str">
        <f>Q9&amp;J9</f>
        <v>11</v>
      </c>
      <c r="U9" s="253"/>
      <c r="V9" s="253"/>
      <c r="W9" s="253"/>
      <c r="X9" s="253"/>
      <c r="Y9" s="253"/>
      <c r="Z9" s="253"/>
      <c r="AA9" s="260"/>
      <c r="AD9" s="211">
        <f t="shared" si="0"/>
        <v>283</v>
      </c>
      <c r="AE9" s="212">
        <f>IFERROR(INDEX(V!$R:$R,MATCH(AF9,V!$L:$L,0)),"")</f>
        <v>115</v>
      </c>
      <c r="AF9" s="213" t="str">
        <f t="shared" si="1"/>
        <v>Oksana Rõndenkova</v>
      </c>
      <c r="AG9" s="212" t="str">
        <f>IFERROR(INDEX(V!$R:$R,MATCH(AH9,V!$L:$L,0)),"")</f>
        <v/>
      </c>
      <c r="AH9" s="213" t="str">
        <f t="shared" si="2"/>
        <v>Oleg Rõndenkov, Aleksander Korikov</v>
      </c>
      <c r="AI9" s="212">
        <f>IFERROR(INDEX(V!$R:$R,MATCH(AJ9,V!$L:$L,0)),"")</f>
        <v>117</v>
      </c>
      <c r="AJ9" s="213" t="str">
        <f t="shared" si="3"/>
        <v>Oleg Rõndenkov</v>
      </c>
      <c r="AK9" s="212">
        <f>IFERROR(INDEX(V!$R:$R,MATCH(AL9,V!$L:$L,0)),"")</f>
        <v>51</v>
      </c>
      <c r="AL9" s="213" t="str">
        <f t="shared" si="4"/>
        <v>Aleksander Korikov</v>
      </c>
      <c r="AM9" s="212" t="str">
        <f>IFERROR(INDEX(V!$R:$R,MATCH(AN9,V!$L:$L,0)),"")</f>
        <v/>
      </c>
      <c r="AN9" s="213" t="str">
        <f t="shared" si="5"/>
        <v/>
      </c>
      <c r="AO9" s="212" t="str">
        <f>IFERROR(INDEX(V!$R:$R,MATCH(AP9,V!$L:$L,0)),"")</f>
        <v/>
      </c>
      <c r="AP9" s="213" t="str">
        <f t="shared" si="6"/>
        <v/>
      </c>
    </row>
    <row r="10" spans="1:42" hidden="1" x14ac:dyDescent="0.2">
      <c r="A10" s="188">
        <v>4</v>
      </c>
      <c r="B10" s="268"/>
      <c r="C10" s="190"/>
      <c r="D10" s="267"/>
      <c r="E10" s="190"/>
      <c r="F10" s="191"/>
      <c r="G10" s="190"/>
      <c r="H10" s="189" t="str">
        <f>(IF(C10-F7&gt;0,1)+IF(D10-F8&gt;0,1)+IF(E10-F9&gt;0,1)+IF(G10-F11&gt;0,1))&amp;"-"&amp;(IF(C10-F7&lt;0,1)+IF(D10-F8&lt;0,1)+IF(E10-F9&lt;0,1)+IF(G10-F11&lt;0,1))</f>
        <v>0-0</v>
      </c>
      <c r="I10" s="190" t="str">
        <f>IF(AND(B10&lt;&gt;"",R$6=TRUE),A$6&amp;RANK(S10,S$7:S$11,0)," ")</f>
        <v xml:space="preserve"> </v>
      </c>
      <c r="J10" s="264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59">
        <f>SUM(AND(T10=T7,C10&gt;F7),AND(T10=T8,D10&gt;F8),AND(T10=T9,E10&gt;F9),AND(T10=T11,G10&gt;F11))</f>
        <v>0</v>
      </c>
      <c r="L10" s="265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59">
        <f>SUM(AND(R10=R7,C10&gt;F7),AND(R10=R8,D10&gt;F8),AND(R10=R9,E10&gt;F9),AND(R10=R11,G10&gt;F11))</f>
        <v>0</v>
      </c>
      <c r="N10" s="305" t="str">
        <f>SUM(C10:G10)&amp;"-"&amp;SUM(F7:F11)</f>
        <v>0-0</v>
      </c>
      <c r="O10" s="306">
        <f>C10+D10+E10+G10-F7-F8-F9-F11</f>
        <v>0</v>
      </c>
      <c r="P10" s="260" t="e">
        <f>SUM(C10:G10,F7:F11)/SUM(F7:F11)</f>
        <v>#DIV/0!</v>
      </c>
      <c r="Q10" s="266">
        <f>VALUE(LEFT(H10,1))</f>
        <v>0</v>
      </c>
      <c r="R10" s="193">
        <f>Q10*100000+J10*10000+K10*1000+100*L10</f>
        <v>0</v>
      </c>
      <c r="S10" s="261">
        <f>R10+M10*0.1+IF(ISNONTEXT(B10),0,0.01)+0.0001*O10</f>
        <v>0</v>
      </c>
      <c r="T10" s="262" t="str">
        <f>Q10&amp;J10</f>
        <v>00</v>
      </c>
      <c r="U10" s="253"/>
      <c r="V10" s="253"/>
      <c r="W10" s="253"/>
      <c r="X10" s="253"/>
      <c r="Y10" s="253"/>
      <c r="Z10" s="253"/>
      <c r="AA10" s="260"/>
      <c r="AD10" s="211">
        <f t="shared" si="0"/>
        <v>0</v>
      </c>
      <c r="AE10" s="212" t="str">
        <f>IFERROR(INDEX(V!$R:$R,MATCH(AF10,V!$L:$L,0)),"")</f>
        <v/>
      </c>
      <c r="AF10" s="213" t="str">
        <f t="shared" si="1"/>
        <v/>
      </c>
      <c r="AG10" s="212" t="str">
        <f>IFERROR(INDEX(V!$R:$R,MATCH(AH10,V!$L:$L,0)),"")</f>
        <v/>
      </c>
      <c r="AH10" s="213" t="str">
        <f t="shared" si="2"/>
        <v/>
      </c>
      <c r="AI10" s="212" t="str">
        <f>IFERROR(INDEX(V!$R:$R,MATCH(AJ10,V!$L:$L,0)),"")</f>
        <v/>
      </c>
      <c r="AJ10" s="213" t="str">
        <f t="shared" si="3"/>
        <v/>
      </c>
      <c r="AK10" s="212" t="str">
        <f>IFERROR(INDEX(V!$R:$R,MATCH(AL10,V!$L:$L,0)),"")</f>
        <v/>
      </c>
      <c r="AL10" s="213" t="str">
        <f t="shared" si="4"/>
        <v/>
      </c>
      <c r="AM10" s="212" t="str">
        <f>IFERROR(INDEX(V!$R:$R,MATCH(AN10,V!$L:$L,0)),"")</f>
        <v/>
      </c>
      <c r="AN10" s="213" t="str">
        <f t="shared" si="5"/>
        <v/>
      </c>
      <c r="AO10" s="212" t="str">
        <f>IFERROR(INDEX(V!$R:$R,MATCH(AP10,V!$L:$L,0)),"")</f>
        <v/>
      </c>
      <c r="AP10" s="213" t="str">
        <f t="shared" si="6"/>
        <v/>
      </c>
    </row>
    <row r="11" spans="1:42" hidden="1" x14ac:dyDescent="0.2">
      <c r="A11" s="188">
        <v>5</v>
      </c>
      <c r="B11" s="268"/>
      <c r="C11" s="190"/>
      <c r="D11" s="190"/>
      <c r="E11" s="190"/>
      <c r="F11" s="190"/>
      <c r="G11" s="191"/>
      <c r="H11" s="189" t="str">
        <f>(IF(C11-G7&gt;0,1)+IF(D11-G8&gt;0,1)+IF(E11-G9&gt;0,1)+IF(F11-G10&gt;0,1))&amp;"-"&amp;(IF(C11-G7&lt;0,1)+IF(D11-G8&lt;0,1)+IF(E11-G9&lt;0,1)+IF(F11-G10&lt;0,1))</f>
        <v>0-0</v>
      </c>
      <c r="I11" s="190" t="str">
        <f>IF(AND(B11&lt;&gt;"",R$6=TRUE),A$6&amp;RANK(S11,S$7:S$11,0)," ")</f>
        <v xml:space="preserve"> </v>
      </c>
      <c r="J11" s="264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59">
        <f>SUM(AND(T11=T7,C11&gt;G7),AND(T11=T8,D11&gt;G8),AND(T11=T9,E11&gt;G9),AND(T11=T10,F11&gt;G10))</f>
        <v>0</v>
      </c>
      <c r="L11" s="265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59">
        <f>SUM(AND(R11=R7,C11&gt;G7),AND(R11=R8,D11&gt;G8),AND(R11=R9,E11&gt;G9),AND(R11=R10,F11&gt;G10))</f>
        <v>0</v>
      </c>
      <c r="N11" s="305" t="str">
        <f>SUM(C11:G11)&amp;"-"&amp;SUM(G7:G11)</f>
        <v>0-0</v>
      </c>
      <c r="O11" s="306">
        <f>C11+D11+E11+F11-G7-G8-G9-G10</f>
        <v>0</v>
      </c>
      <c r="P11" s="260" t="e">
        <f>SUM(C11:G11,G7:G11)/SUM(G7:G11)</f>
        <v>#DIV/0!</v>
      </c>
      <c r="Q11" s="266">
        <f>VALUE(LEFT(H11,1))</f>
        <v>0</v>
      </c>
      <c r="R11" s="193">
        <f>Q11*100000+J11*10000+K11*1000+100*L11</f>
        <v>0</v>
      </c>
      <c r="S11" s="261">
        <f>R11+M11*0.1+IF(ISNONTEXT(B11),0,0.01)+0.0001*O11</f>
        <v>0</v>
      </c>
      <c r="T11" s="262" t="str">
        <f>Q11&amp;J11</f>
        <v>00</v>
      </c>
      <c r="U11" s="253"/>
      <c r="V11" s="253"/>
      <c r="W11" s="253"/>
      <c r="X11" s="253"/>
      <c r="Y11" s="253"/>
      <c r="Z11" s="253"/>
      <c r="AA11" s="260"/>
      <c r="AD11" s="211">
        <f t="shared" si="0"/>
        <v>0</v>
      </c>
      <c r="AE11" s="212" t="str">
        <f>IFERROR(INDEX(V!$R:$R,MATCH(AF11,V!$L:$L,0)),"")</f>
        <v/>
      </c>
      <c r="AF11" s="213" t="str">
        <f t="shared" si="1"/>
        <v/>
      </c>
      <c r="AG11" s="212" t="str">
        <f>IFERROR(INDEX(V!$R:$R,MATCH(AH11,V!$L:$L,0)),"")</f>
        <v/>
      </c>
      <c r="AH11" s="213" t="str">
        <f t="shared" si="2"/>
        <v/>
      </c>
      <c r="AI11" s="212" t="str">
        <f>IFERROR(INDEX(V!$R:$R,MATCH(AJ11,V!$L:$L,0)),"")</f>
        <v/>
      </c>
      <c r="AJ11" s="213" t="str">
        <f t="shared" si="3"/>
        <v/>
      </c>
      <c r="AK11" s="212" t="str">
        <f>IFERROR(INDEX(V!$R:$R,MATCH(AL11,V!$L:$L,0)),"")</f>
        <v/>
      </c>
      <c r="AL11" s="213" t="str">
        <f t="shared" si="4"/>
        <v/>
      </c>
      <c r="AM11" s="212" t="str">
        <f>IFERROR(INDEX(V!$R:$R,MATCH(AN11,V!$L:$L,0)),"")</f>
        <v/>
      </c>
      <c r="AN11" s="213" t="str">
        <f t="shared" si="5"/>
        <v/>
      </c>
      <c r="AO11" s="212" t="str">
        <f>IFERROR(INDEX(V!$R:$R,MATCH(AP11,V!$L:$L,0)),"")</f>
        <v/>
      </c>
      <c r="AP11" s="213" t="str">
        <f t="shared" si="6"/>
        <v/>
      </c>
    </row>
    <row r="12" spans="1:42" x14ac:dyDescent="0.2">
      <c r="A12" s="269"/>
      <c r="B12" s="270"/>
      <c r="C12" s="271"/>
      <c r="D12" s="272"/>
      <c r="E12" s="273"/>
      <c r="F12" s="273"/>
      <c r="G12" s="274"/>
      <c r="H12" s="275"/>
      <c r="I12" s="276"/>
      <c r="J12" s="253"/>
      <c r="K12" s="253"/>
      <c r="L12" s="253"/>
      <c r="M12" s="253"/>
      <c r="N12" s="307"/>
      <c r="O12" s="307"/>
      <c r="P12" s="253"/>
      <c r="Q12" s="253"/>
      <c r="R12" s="277" t="s">
        <v>206</v>
      </c>
      <c r="S12" s="253"/>
      <c r="T12" s="253"/>
      <c r="U12" s="253"/>
      <c r="V12" s="253"/>
      <c r="W12" s="253"/>
      <c r="X12" s="253"/>
      <c r="Y12" s="253"/>
      <c r="Z12" s="253"/>
      <c r="AA12" s="260"/>
      <c r="AD12" s="211">
        <f t="shared" si="0"/>
        <v>0</v>
      </c>
      <c r="AE12" s="212" t="str">
        <f>IFERROR(INDEX(V!$R:$R,MATCH(AF12,V!$L:$L,0)),"")</f>
        <v/>
      </c>
      <c r="AF12" s="213" t="str">
        <f t="shared" si="1"/>
        <v/>
      </c>
      <c r="AG12" s="212" t="str">
        <f>IFERROR(INDEX(V!$R:$R,MATCH(AH12,V!$L:$L,0)),"")</f>
        <v/>
      </c>
      <c r="AH12" s="213" t="str">
        <f t="shared" si="2"/>
        <v/>
      </c>
      <c r="AI12" s="212" t="str">
        <f>IFERROR(INDEX(V!$R:$R,MATCH(AJ12,V!$L:$L,0)),"")</f>
        <v/>
      </c>
      <c r="AJ12" s="213" t="str">
        <f t="shared" si="3"/>
        <v/>
      </c>
      <c r="AK12" s="212" t="str">
        <f>IFERROR(INDEX(V!$R:$R,MATCH(AL12,V!$L:$L,0)),"")</f>
        <v/>
      </c>
      <c r="AL12" s="213" t="str">
        <f t="shared" si="4"/>
        <v/>
      </c>
      <c r="AM12" s="212" t="str">
        <f>IFERROR(INDEX(V!$R:$R,MATCH(AN12,V!$L:$L,0)),"")</f>
        <v/>
      </c>
      <c r="AN12" s="213" t="str">
        <f t="shared" si="5"/>
        <v/>
      </c>
      <c r="AO12" s="212" t="str">
        <f>IFERROR(INDEX(V!$R:$R,MATCH(AP12,V!$L:$L,0)),"")</f>
        <v/>
      </c>
      <c r="AP12" s="213" t="str">
        <f t="shared" si="6"/>
        <v/>
      </c>
    </row>
    <row r="13" spans="1:42" x14ac:dyDescent="0.2">
      <c r="A13" s="188" t="s">
        <v>1</v>
      </c>
      <c r="B13" s="278"/>
      <c r="C13" s="243">
        <v>1</v>
      </c>
      <c r="D13" s="243">
        <v>2</v>
      </c>
      <c r="E13" s="243">
        <v>3</v>
      </c>
      <c r="F13" s="243">
        <v>4</v>
      </c>
      <c r="G13" s="243"/>
      <c r="H13" s="244" t="s">
        <v>130</v>
      </c>
      <c r="I13" s="244" t="s">
        <v>131</v>
      </c>
      <c r="J13" s="279" t="s">
        <v>199</v>
      </c>
      <c r="K13" s="280" t="s">
        <v>200</v>
      </c>
      <c r="L13" s="281" t="s">
        <v>201</v>
      </c>
      <c r="M13" s="281" t="s">
        <v>202</v>
      </c>
      <c r="N13" s="248" t="s">
        <v>132</v>
      </c>
      <c r="O13" s="248" t="s">
        <v>132</v>
      </c>
      <c r="P13" s="249" t="s">
        <v>203</v>
      </c>
      <c r="Q13" s="282" t="s">
        <v>21</v>
      </c>
      <c r="R13" s="282" t="b">
        <f>OR(AND(COUNTA(B14:B18)=3,COUNTA(C14:G18)=6),AND(COUNTA(B14:B18)=4,COUNTA(C14:G18)=12),AND(COUNTA(B14:B18)=5,COUNTA(C14:G18)=20))</f>
        <v>1</v>
      </c>
      <c r="S13" s="283" t="s">
        <v>204</v>
      </c>
      <c r="T13" s="284" t="s">
        <v>205</v>
      </c>
      <c r="U13" s="253"/>
      <c r="V13" s="253"/>
      <c r="W13" s="253"/>
      <c r="X13" s="253"/>
      <c r="Y13" s="253"/>
      <c r="Z13" s="253"/>
      <c r="AA13" s="260"/>
      <c r="AD13" s="211">
        <f t="shared" si="0"/>
        <v>0</v>
      </c>
      <c r="AE13" s="212" t="str">
        <f>IFERROR(INDEX(V!$R:$R,MATCH(AF13,V!$L:$L,0)),"")</f>
        <v/>
      </c>
      <c r="AF13" s="213" t="str">
        <f t="shared" si="1"/>
        <v/>
      </c>
      <c r="AG13" s="212" t="str">
        <f>IFERROR(INDEX(V!$R:$R,MATCH(AH13,V!$L:$L,0)),"")</f>
        <v/>
      </c>
      <c r="AH13" s="213" t="str">
        <f t="shared" si="2"/>
        <v/>
      </c>
      <c r="AI13" s="212" t="str">
        <f>IFERROR(INDEX(V!$R:$R,MATCH(AJ13,V!$L:$L,0)),"")</f>
        <v/>
      </c>
      <c r="AJ13" s="213" t="str">
        <f t="shared" si="3"/>
        <v/>
      </c>
      <c r="AK13" s="212" t="str">
        <f>IFERROR(INDEX(V!$R:$R,MATCH(AL13,V!$L:$L,0)),"")</f>
        <v/>
      </c>
      <c r="AL13" s="213" t="str">
        <f t="shared" si="4"/>
        <v/>
      </c>
      <c r="AM13" s="212" t="str">
        <f>IFERROR(INDEX(V!$R:$R,MATCH(AN13,V!$L:$L,0)),"")</f>
        <v/>
      </c>
      <c r="AN13" s="213" t="str">
        <f t="shared" si="5"/>
        <v/>
      </c>
      <c r="AO13" s="212" t="str">
        <f>IFERROR(INDEX(V!$R:$R,MATCH(AP13,V!$L:$L,0)),"")</f>
        <v/>
      </c>
      <c r="AP13" s="213" t="str">
        <f t="shared" si="6"/>
        <v/>
      </c>
    </row>
    <row r="14" spans="1:42" x14ac:dyDescent="0.2">
      <c r="A14" s="188">
        <v>1</v>
      </c>
      <c r="B14" s="285" t="s">
        <v>373</v>
      </c>
      <c r="C14" s="191"/>
      <c r="D14" s="190">
        <v>13</v>
      </c>
      <c r="E14" s="190">
        <v>13</v>
      </c>
      <c r="F14" s="190">
        <v>13</v>
      </c>
      <c r="G14" s="190"/>
      <c r="H14" s="189" t="str">
        <f>(IF(D14-C15&gt;0,1)+IF(E14-C16&gt;0,1)+IF(F14-C17&gt;0,1)+IF(G14-C18&gt;0,1))&amp;"-"&amp;(IF(D14-C15&lt;0,1)+IF(E14-C16&lt;0,1)+IF(F14-C17&lt;0,1)+IF(G14-C18&lt;0,1))</f>
        <v>3-0</v>
      </c>
      <c r="I14" s="190" t="str">
        <f>IF(AND(B14&lt;&gt;"",R$6=TRUE),A$13&amp;RANK(S14,S$14:S$18,0)," ")</f>
        <v>B1</v>
      </c>
      <c r="J14" s="256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57">
        <f>SUM(AND(T14=T15,D14&gt;C15),AND(T14=T16,E14&gt;C16),AND(T14=T17,F14&gt;C17),AND(T14=T18,G14&gt;C18))</f>
        <v>0</v>
      </c>
      <c r="L14" s="258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259">
        <f>SUM(AND(R14=R15,D14&gt;C15),AND(R14=R16,E14&gt;C16),AND(R14=R17,F14&gt;C17),AND(R14=R18,G14&gt;C18))</f>
        <v>0</v>
      </c>
      <c r="N14" s="305" t="str">
        <f>SUM(C14:G14)&amp;"-"&amp;SUM(C14:C18)</f>
        <v>39-24</v>
      </c>
      <c r="O14" s="306">
        <f>D14+E14+F14+G14-C15-C16-C17-C18</f>
        <v>15</v>
      </c>
      <c r="P14" s="260">
        <f>SUM(C14:G14,C14:C18)/SUM(C14:C18)</f>
        <v>2.625</v>
      </c>
      <c r="Q14" s="192">
        <f>VALUE(LEFT(H14,1))</f>
        <v>3</v>
      </c>
      <c r="R14" s="193">
        <f>Q14*100000+J14*10000+K14*1000+100*L14</f>
        <v>300000</v>
      </c>
      <c r="S14" s="261">
        <f>R14+M14*0.1+IF(ISNONTEXT(B14),0,0.01)+0.0001*O14</f>
        <v>300000.01150000002</v>
      </c>
      <c r="T14" s="262" t="str">
        <f>Q14&amp;J14</f>
        <v>30</v>
      </c>
      <c r="U14" s="253"/>
      <c r="V14" s="253"/>
      <c r="W14" s="253"/>
      <c r="X14" s="253"/>
      <c r="Y14" s="253"/>
      <c r="Z14" s="253"/>
      <c r="AA14" s="260"/>
      <c r="AD14" s="211">
        <f t="shared" si="0"/>
        <v>378</v>
      </c>
      <c r="AE14" s="212">
        <f>IFERROR(INDEX(V!$R:$R,MATCH(AF14,V!$L:$L,0)),"")</f>
        <v>143</v>
      </c>
      <c r="AF14" s="213" t="str">
        <f t="shared" si="1"/>
        <v>Jaan Saar</v>
      </c>
      <c r="AG14" s="212" t="str">
        <f>IFERROR(INDEX(V!$R:$R,MATCH(AH14,V!$L:$L,0)),"")</f>
        <v/>
      </c>
      <c r="AH14" s="213" t="str">
        <f t="shared" si="2"/>
        <v>Olav Türk, Sirje Maala</v>
      </c>
      <c r="AI14" s="212">
        <f>IFERROR(INDEX(V!$R:$R,MATCH(AJ14,V!$L:$L,0)),"")</f>
        <v>132</v>
      </c>
      <c r="AJ14" s="213" t="str">
        <f t="shared" si="3"/>
        <v>Olav Türk</v>
      </c>
      <c r="AK14" s="212">
        <f>IFERROR(INDEX(V!$R:$R,MATCH(AL14,V!$L:$L,0)),"")</f>
        <v>103</v>
      </c>
      <c r="AL14" s="213" t="str">
        <f t="shared" si="4"/>
        <v>Sirje Maala</v>
      </c>
      <c r="AM14" s="212" t="str">
        <f>IFERROR(INDEX(V!$R:$R,MATCH(AN14,V!$L:$L,0)),"")</f>
        <v/>
      </c>
      <c r="AN14" s="213" t="str">
        <f t="shared" si="5"/>
        <v/>
      </c>
      <c r="AO14" s="212" t="str">
        <f>IFERROR(INDEX(V!$R:$R,MATCH(AP14,V!$L:$L,0)),"")</f>
        <v/>
      </c>
      <c r="AP14" s="213" t="str">
        <f t="shared" si="6"/>
        <v/>
      </c>
    </row>
    <row r="15" spans="1:42" x14ac:dyDescent="0.2">
      <c r="A15" s="188">
        <v>2</v>
      </c>
      <c r="B15" s="255" t="s">
        <v>375</v>
      </c>
      <c r="C15" s="190">
        <v>11</v>
      </c>
      <c r="D15" s="191"/>
      <c r="E15" s="190">
        <v>13</v>
      </c>
      <c r="F15" s="190">
        <v>10</v>
      </c>
      <c r="G15" s="190"/>
      <c r="H15" s="189" t="str">
        <f>(IF(C15-D14&gt;0,1)+IF(E15-D16&gt;0,1)+IF(F15-D17&gt;0,1)+IF(G15-D18&gt;0,1))&amp;"-"&amp;(IF(C15-D14&lt;0,1)+IF(E15-D16&lt;0,1)+IF(F15-D17&lt;0,1)+IF(G15-D18&lt;0,1))</f>
        <v>1-2</v>
      </c>
      <c r="I15" s="190" t="str">
        <f>IF(AND(B15&lt;&gt;"",R$6=TRUE),A$13&amp;RANK(S15,S$14:S$18,0)," ")</f>
        <v>B3</v>
      </c>
      <c r="J15" s="264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259">
        <f>SUM(AND(T15=T14,C15&gt;D14),AND(T15=T16,E15&gt;D16),AND(T15=T17,F15&gt;D17),AND(T15=T18,G15&gt;D18))</f>
        <v>0</v>
      </c>
      <c r="L15" s="265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259">
        <f>SUM(AND(R15=R14,C15&gt;D14),AND(R15=R16,E15&gt;D16),AND(R15=R17,F15&gt;D17),AND(R15=R18,G15&gt;D18))</f>
        <v>0</v>
      </c>
      <c r="N15" s="305" t="str">
        <f>SUM(C15:G15)&amp;"-"&amp;SUM(D14:D18)</f>
        <v>34-32</v>
      </c>
      <c r="O15" s="306">
        <f>C15+E15+F15+G15-D14-D16-D17-D18</f>
        <v>2</v>
      </c>
      <c r="P15" s="260">
        <f>SUM(C15:G15,D14:D18)/SUM(D14:D18)</f>
        <v>2.0625</v>
      </c>
      <c r="Q15" s="266">
        <f>VALUE(LEFT(H15,1))</f>
        <v>1</v>
      </c>
      <c r="R15" s="193">
        <f>Q15*100000+J15*10000+K15*1000+100*L15</f>
        <v>100000</v>
      </c>
      <c r="S15" s="261">
        <f>R15+M15*0.1+IF(ISNONTEXT(B15),0,0.01)+0.0001*O15</f>
        <v>100000.01019999999</v>
      </c>
      <c r="T15" s="262" t="str">
        <f>Q15&amp;J15</f>
        <v>10</v>
      </c>
      <c r="U15" s="253"/>
      <c r="V15" s="253"/>
      <c r="W15" s="253"/>
      <c r="X15" s="253"/>
      <c r="Y15" s="253"/>
      <c r="Z15" s="253"/>
      <c r="AA15" s="260"/>
      <c r="AD15" s="211">
        <f t="shared" si="0"/>
        <v>299</v>
      </c>
      <c r="AE15" s="212">
        <f>IFERROR(INDEX(V!$R:$R,MATCH(AF15,V!$L:$L,0)),"")</f>
        <v>73</v>
      </c>
      <c r="AF15" s="213" t="str">
        <f t="shared" si="1"/>
        <v>Jaan Sepp</v>
      </c>
      <c r="AG15" s="212" t="str">
        <f>IFERROR(INDEX(V!$R:$R,MATCH(AH15,V!$L:$L,0)),"")</f>
        <v/>
      </c>
      <c r="AH15" s="213" t="str">
        <f t="shared" si="2"/>
        <v>Kaspar Mänd, Oskar Sepp</v>
      </c>
      <c r="AI15" s="212">
        <f>IFERROR(INDEX(V!$R:$R,MATCH(AJ15,V!$L:$L,0)),"")</f>
        <v>153</v>
      </c>
      <c r="AJ15" s="213" t="str">
        <f t="shared" si="3"/>
        <v>Kaspar Mänd</v>
      </c>
      <c r="AK15" s="212">
        <f>IFERROR(INDEX(V!$R:$R,MATCH(AL15,V!$L:$L,0)),"")</f>
        <v>73</v>
      </c>
      <c r="AL15" s="213" t="str">
        <f t="shared" si="4"/>
        <v>Oskar Sepp</v>
      </c>
      <c r="AM15" s="212" t="str">
        <f>IFERROR(INDEX(V!$R:$R,MATCH(AN15,V!$L:$L,0)),"")</f>
        <v/>
      </c>
      <c r="AN15" s="213" t="str">
        <f t="shared" si="5"/>
        <v/>
      </c>
      <c r="AO15" s="212" t="str">
        <f>IFERROR(INDEX(V!$R:$R,MATCH(AP15,V!$L:$L,0)),"")</f>
        <v/>
      </c>
      <c r="AP15" s="213" t="str">
        <f t="shared" si="6"/>
        <v/>
      </c>
    </row>
    <row r="16" spans="1:42" x14ac:dyDescent="0.2">
      <c r="A16" s="188">
        <v>3</v>
      </c>
      <c r="B16" s="263" t="s">
        <v>350</v>
      </c>
      <c r="C16" s="190">
        <v>1</v>
      </c>
      <c r="D16" s="267">
        <v>6</v>
      </c>
      <c r="E16" s="191"/>
      <c r="F16" s="190">
        <v>4</v>
      </c>
      <c r="G16" s="190"/>
      <c r="H16" s="189" t="str">
        <f>(IF(C16-E14&gt;0,1)+IF(D16-E15&gt;0,1)+IF(F16-E17&gt;0,1)+IF(G16-E18&gt;0,1))&amp;"-"&amp;(IF(C16-E14&lt;0,1)+IF(D16-E15&lt;0,1)+IF(F16-E17&lt;0,1)+IF(G16-E18&lt;0,1))</f>
        <v>0-3</v>
      </c>
      <c r="I16" s="190" t="str">
        <f>IF(AND(B16&lt;&gt;"",R$6=TRUE),A$13&amp;RANK(S16,S$14:S$18,0)," ")</f>
        <v>B4</v>
      </c>
      <c r="J16" s="264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59">
        <f>SUM(AND(T16=T14,C16&gt;E14),AND(T16=T15,D16&gt;E15),AND(T16=T17,F16&gt;E17),AND(T16=T18,G16&gt;E18))</f>
        <v>0</v>
      </c>
      <c r="L16" s="265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259">
        <f>SUM(AND(R16=R14,C16&gt;E14),AND(R16=R15,D16&gt;E15),AND(R16=R17,F16&gt;E17),AND(R16=R18,G16&gt;E18))</f>
        <v>0</v>
      </c>
      <c r="N16" s="305" t="str">
        <f>SUM(C16:G16)&amp;"-"&amp;SUM(E14:E18)</f>
        <v>11-39</v>
      </c>
      <c r="O16" s="306">
        <f>C16+D16+F16+G16-E14-E15-E17-E18</f>
        <v>-28</v>
      </c>
      <c r="P16" s="260">
        <f>SUM(C16:G16,E14:E18)/SUM(E14:E18)</f>
        <v>1.2820512820512822</v>
      </c>
      <c r="Q16" s="266">
        <f>VALUE(LEFT(H16,1))</f>
        <v>0</v>
      </c>
      <c r="R16" s="193">
        <f>Q16*100000+J16*10000+K16*1000+100*L16</f>
        <v>0</v>
      </c>
      <c r="S16" s="261">
        <f>R16+M16*0.1+IF(ISNONTEXT(B16),0,0.01)+0.0001*O16</f>
        <v>7.1999999999999998E-3</v>
      </c>
      <c r="T16" s="262" t="str">
        <f>Q16&amp;J16</f>
        <v>00</v>
      </c>
      <c r="U16" s="253"/>
      <c r="V16" s="253"/>
      <c r="W16" s="253"/>
      <c r="X16" s="253"/>
      <c r="Y16" s="253"/>
      <c r="Z16" s="253"/>
      <c r="AA16" s="260"/>
      <c r="AD16" s="211">
        <f t="shared" si="0"/>
        <v>213</v>
      </c>
      <c r="AE16" s="212">
        <f>IFERROR(INDEX(V!$R:$R,MATCH(AF16,V!$L:$L,0)),"")</f>
        <v>52</v>
      </c>
      <c r="AF16" s="213" t="str">
        <f t="shared" si="1"/>
        <v>Andrei Grintšak</v>
      </c>
      <c r="AG16" s="212" t="str">
        <f>IFERROR(INDEX(V!$R:$R,MATCH(AH16,V!$L:$L,0)),"")</f>
        <v/>
      </c>
      <c r="AH16" s="213" t="str">
        <f t="shared" si="2"/>
        <v>Johannes Neiland, Urmas Randlaine</v>
      </c>
      <c r="AI16" s="212">
        <f>IFERROR(INDEX(V!$R:$R,MATCH(AJ16,V!$L:$L,0)),"")</f>
        <v>27</v>
      </c>
      <c r="AJ16" s="213" t="str">
        <f t="shared" si="3"/>
        <v>Johannes Neiland</v>
      </c>
      <c r="AK16" s="212">
        <f>IFERROR(INDEX(V!$R:$R,MATCH(AL16,V!$L:$L,0)),"")</f>
        <v>134</v>
      </c>
      <c r="AL16" s="213" t="str">
        <f t="shared" si="4"/>
        <v>Urmas Randlaine</v>
      </c>
      <c r="AM16" s="212" t="str">
        <f>IFERROR(INDEX(V!$R:$R,MATCH(AN16,V!$L:$L,0)),"")</f>
        <v/>
      </c>
      <c r="AN16" s="213" t="str">
        <f t="shared" si="5"/>
        <v/>
      </c>
      <c r="AO16" s="212" t="str">
        <f>IFERROR(INDEX(V!$R:$R,MATCH(AP16,V!$L:$L,0)),"")</f>
        <v/>
      </c>
      <c r="AP16" s="213" t="str">
        <f t="shared" si="6"/>
        <v/>
      </c>
    </row>
    <row r="17" spans="1:42" x14ac:dyDescent="0.2">
      <c r="A17" s="188">
        <v>4</v>
      </c>
      <c r="B17" s="268" t="s">
        <v>374</v>
      </c>
      <c r="C17" s="190">
        <v>12</v>
      </c>
      <c r="D17" s="267">
        <v>13</v>
      </c>
      <c r="E17" s="190">
        <v>13</v>
      </c>
      <c r="F17" s="191"/>
      <c r="G17" s="286"/>
      <c r="H17" s="189" t="str">
        <f>(IF(C17-F14&gt;0,1)+IF(D17-F15&gt;0,1)+IF(E17-F16&gt;0,1)+IF(G17-F18&gt;0,1))&amp;"-"&amp;(IF(C17-F14&lt;0,1)+IF(D17-F15&lt;0,1)+IF(E17-F16&lt;0,1)+IF(G17-F18&lt;0,1))</f>
        <v>2-1</v>
      </c>
      <c r="I17" s="190" t="str">
        <f>IF(AND(B17&lt;&gt;"",R$6=TRUE),A$13&amp;RANK(S17,S$14:S$18,0)," ")</f>
        <v>B2</v>
      </c>
      <c r="J17" s="264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259">
        <f>SUM(AND(T17=T14,C17&gt;F14),AND(T17=T15,D17&gt;F15),AND(T17=T16,E17&gt;F16),AND(T17=T18,G17&gt;F18))</f>
        <v>0</v>
      </c>
      <c r="L17" s="265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259">
        <f>SUM(AND(R17=R14,C17&gt;F14),AND(R17=R15,D17&gt;F15),AND(R17=R16,E17&gt;F16),AND(R17=R18,G17&gt;F18))</f>
        <v>0</v>
      </c>
      <c r="N17" s="305" t="str">
        <f>SUM(C17:G17)&amp;"-"&amp;SUM(F14:F18)</f>
        <v>38-27</v>
      </c>
      <c r="O17" s="306">
        <f>C17+D17+E17+G17-F14-F15-F16-F18</f>
        <v>11</v>
      </c>
      <c r="P17" s="260">
        <f>SUM(C17:G17,F14:F18)/SUM(F14:F18)</f>
        <v>2.4074074074074074</v>
      </c>
      <c r="Q17" s="266">
        <f>VALUE(LEFT(H17,1))</f>
        <v>2</v>
      </c>
      <c r="R17" s="193">
        <f>Q17*100000+J17*10000+K17*1000+100*L17</f>
        <v>200000</v>
      </c>
      <c r="S17" s="261">
        <f>R17+M17*0.1+IF(ISNONTEXT(B17),0,0.01)+0.0001*O17</f>
        <v>200000.0111</v>
      </c>
      <c r="T17" s="262" t="str">
        <f>Q17&amp;J17</f>
        <v>20</v>
      </c>
      <c r="U17" s="253"/>
      <c r="V17" s="253"/>
      <c r="W17" s="253"/>
      <c r="X17" s="253"/>
      <c r="Y17" s="253"/>
      <c r="Z17" s="253"/>
      <c r="AA17" s="260"/>
      <c r="AD17" s="211">
        <f t="shared" si="0"/>
        <v>53</v>
      </c>
      <c r="AE17" s="212">
        <f>IFERROR(INDEX(V!$R:$R,MATCH(AF17,V!$L:$L,0)),"")</f>
        <v>12</v>
      </c>
      <c r="AF17" s="213" t="str">
        <f t="shared" si="1"/>
        <v>Boriss Klubov</v>
      </c>
      <c r="AG17" s="212" t="str">
        <f>IFERROR(INDEX(V!$R:$R,MATCH(AH17,V!$L:$L,0)),"")</f>
        <v/>
      </c>
      <c r="AH17" s="213" t="str">
        <f t="shared" si="2"/>
        <v>Elmo Lageda, Liidia Põllu</v>
      </c>
      <c r="AI17" s="212">
        <f>IFERROR(INDEX(V!$R:$R,MATCH(AJ17,V!$L:$L,0)),"")</f>
        <v>23</v>
      </c>
      <c r="AJ17" s="213" t="str">
        <f t="shared" si="3"/>
        <v>Elmo Lageda</v>
      </c>
      <c r="AK17" s="212">
        <f>IFERROR(INDEX(V!$R:$R,MATCH(AL17,V!$L:$L,0)),"")</f>
        <v>18</v>
      </c>
      <c r="AL17" s="213" t="str">
        <f t="shared" si="4"/>
        <v>Liidia Põllu</v>
      </c>
      <c r="AM17" s="212" t="str">
        <f>IFERROR(INDEX(V!$R:$R,MATCH(AN17,V!$L:$L,0)),"")</f>
        <v/>
      </c>
      <c r="AN17" s="213" t="str">
        <f t="shared" si="5"/>
        <v/>
      </c>
      <c r="AO17" s="212" t="str">
        <f>IFERROR(INDEX(V!$R:$R,MATCH(AP17,V!$L:$L,0)),"")</f>
        <v/>
      </c>
      <c r="AP17" s="213" t="str">
        <f t="shared" si="6"/>
        <v/>
      </c>
    </row>
    <row r="18" spans="1:42" hidden="1" x14ac:dyDescent="0.2">
      <c r="A18" s="188">
        <v>5</v>
      </c>
      <c r="B18" s="268"/>
      <c r="C18" s="190"/>
      <c r="D18" s="190"/>
      <c r="E18" s="190"/>
      <c r="F18" s="190"/>
      <c r="G18" s="191"/>
      <c r="H18" s="189" t="str">
        <f>(IF(C18-G14&gt;0,1)+IF(D18-G15&gt;0,1)+IF(E18-G16&gt;0,1)+IF(F18-G17&gt;0,1))&amp;"-"&amp;(IF(C18-G14&lt;0,1)+IF(D18-G15&lt;0,1)+IF(E18-G16&lt;0,1)+IF(F18-G17&lt;0,1))</f>
        <v>0-0</v>
      </c>
      <c r="I18" s="190" t="str">
        <f>IF(AND(B18&lt;&gt;"",R$6=TRUE),A$13&amp;RANK(S18,S$14:S$18,0)," ")</f>
        <v xml:space="preserve"> </v>
      </c>
      <c r="J18" s="264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59">
        <f>SUM(AND(T18=T14,C18&gt;G14),AND(T18=T15,D18&gt;G15),AND(T18=T16,E18&gt;G16),AND(T18=T17,F18&gt;G17))</f>
        <v>0</v>
      </c>
      <c r="L18" s="265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59">
        <f>SUM(AND(R18=R14,C18&gt;G14),AND(R18=R15,D18&gt;G15),AND(R18=R16,E18&gt;G16),AND(R18=R17,F18&gt;G17))</f>
        <v>0</v>
      </c>
      <c r="N18" s="305" t="str">
        <f>SUM(C18:G18)&amp;"-"&amp;SUM(G14:G18)</f>
        <v>0-0</v>
      </c>
      <c r="O18" s="306">
        <f>C18+D18+E18+F18-G14-G15-G16-G17</f>
        <v>0</v>
      </c>
      <c r="P18" s="260" t="e">
        <f>SUM(C18:G18,G14:G18)/SUM(G14:G18)</f>
        <v>#DIV/0!</v>
      </c>
      <c r="Q18" s="266">
        <f>VALUE(LEFT(H18,1))</f>
        <v>0</v>
      </c>
      <c r="R18" s="193">
        <f>Q18*100000+J18*10000+K18*1000+100*L18</f>
        <v>0</v>
      </c>
      <c r="S18" s="261">
        <f>R18+M18*0.1+IF(ISNONTEXT(B18),0,0.01)+0.0001*O18</f>
        <v>0</v>
      </c>
      <c r="T18" s="262" t="str">
        <f>Q18&amp;J18</f>
        <v>00</v>
      </c>
      <c r="U18" s="253"/>
      <c r="V18" s="253"/>
      <c r="W18" s="253"/>
      <c r="X18" s="253"/>
      <c r="Y18" s="253"/>
      <c r="Z18" s="253"/>
      <c r="AA18" s="260"/>
      <c r="AD18" s="211">
        <f t="shared" si="0"/>
        <v>0</v>
      </c>
      <c r="AE18" s="212" t="str">
        <f>IFERROR(INDEX(V!$R:$R,MATCH(AF18,V!$L:$L,0)),"")</f>
        <v/>
      </c>
      <c r="AF18" s="213" t="str">
        <f t="shared" si="1"/>
        <v/>
      </c>
      <c r="AG18" s="212" t="str">
        <f>IFERROR(INDEX(V!$R:$R,MATCH(AH18,V!$L:$L,0)),"")</f>
        <v/>
      </c>
      <c r="AH18" s="213" t="str">
        <f t="shared" si="2"/>
        <v/>
      </c>
      <c r="AI18" s="212" t="str">
        <f>IFERROR(INDEX(V!$R:$R,MATCH(AJ18,V!$L:$L,0)),"")</f>
        <v/>
      </c>
      <c r="AJ18" s="213" t="str">
        <f t="shared" si="3"/>
        <v/>
      </c>
      <c r="AK18" s="212" t="str">
        <f>IFERROR(INDEX(V!$R:$R,MATCH(AL18,V!$L:$L,0)),"")</f>
        <v/>
      </c>
      <c r="AL18" s="213" t="str">
        <f t="shared" si="4"/>
        <v/>
      </c>
      <c r="AM18" s="212" t="str">
        <f>IFERROR(INDEX(V!$R:$R,MATCH(AN18,V!$L:$L,0)),"")</f>
        <v/>
      </c>
      <c r="AN18" s="213" t="str">
        <f t="shared" si="5"/>
        <v/>
      </c>
      <c r="AO18" s="212" t="str">
        <f>IFERROR(INDEX(V!$R:$R,MATCH(AP18,V!$L:$L,0)),"")</f>
        <v/>
      </c>
      <c r="AP18" s="213" t="str">
        <f t="shared" si="6"/>
        <v/>
      </c>
    </row>
    <row r="19" spans="1:42" hidden="1" x14ac:dyDescent="0.2">
      <c r="A19" s="269"/>
      <c r="B19" s="270"/>
      <c r="C19" s="271"/>
      <c r="D19" s="272"/>
      <c r="E19" s="271"/>
      <c r="F19" s="273"/>
      <c r="G19" s="274"/>
      <c r="H19" s="275"/>
      <c r="I19" s="287"/>
      <c r="J19" s="253"/>
      <c r="K19" s="253"/>
      <c r="L19" s="253"/>
      <c r="M19" s="253"/>
      <c r="N19" s="307"/>
      <c r="O19" s="307"/>
      <c r="P19" s="253"/>
      <c r="Q19" s="253"/>
      <c r="R19" s="277" t="s">
        <v>206</v>
      </c>
      <c r="S19" s="253"/>
      <c r="T19" s="253"/>
      <c r="U19" s="253"/>
      <c r="V19" s="253"/>
      <c r="W19" s="253"/>
      <c r="X19" s="253"/>
      <c r="Y19" s="253"/>
      <c r="Z19" s="253"/>
      <c r="AA19" s="260"/>
      <c r="AD19" s="211">
        <f t="shared" si="0"/>
        <v>0</v>
      </c>
      <c r="AE19" s="212" t="str">
        <f>IFERROR(INDEX(V!$R:$R,MATCH(AF19,V!$L:$L,0)),"")</f>
        <v/>
      </c>
      <c r="AF19" s="213" t="str">
        <f t="shared" si="1"/>
        <v/>
      </c>
      <c r="AG19" s="212" t="str">
        <f>IFERROR(INDEX(V!$R:$R,MATCH(AH19,V!$L:$L,0)),"")</f>
        <v/>
      </c>
      <c r="AH19" s="213" t="str">
        <f t="shared" si="2"/>
        <v/>
      </c>
      <c r="AI19" s="212" t="str">
        <f>IFERROR(INDEX(V!$R:$R,MATCH(AJ19,V!$L:$L,0)),"")</f>
        <v/>
      </c>
      <c r="AJ19" s="213" t="str">
        <f t="shared" si="3"/>
        <v/>
      </c>
      <c r="AK19" s="212" t="str">
        <f>IFERROR(INDEX(V!$R:$R,MATCH(AL19,V!$L:$L,0)),"")</f>
        <v/>
      </c>
      <c r="AL19" s="213" t="str">
        <f t="shared" si="4"/>
        <v/>
      </c>
      <c r="AM19" s="212" t="str">
        <f>IFERROR(INDEX(V!$R:$R,MATCH(AN19,V!$L:$L,0)),"")</f>
        <v/>
      </c>
      <c r="AN19" s="213" t="str">
        <f t="shared" si="5"/>
        <v/>
      </c>
      <c r="AO19" s="212" t="str">
        <f>IFERROR(INDEX(V!$R:$R,MATCH(AP19,V!$L:$L,0)),"")</f>
        <v/>
      </c>
      <c r="AP19" s="213" t="str">
        <f t="shared" si="6"/>
        <v/>
      </c>
    </row>
    <row r="20" spans="1:42" hidden="1" x14ac:dyDescent="0.2">
      <c r="A20" s="188" t="s">
        <v>2</v>
      </c>
      <c r="B20" s="278"/>
      <c r="C20" s="243">
        <v>1</v>
      </c>
      <c r="D20" s="243">
        <v>2</v>
      </c>
      <c r="E20" s="243">
        <v>3</v>
      </c>
      <c r="F20" s="243"/>
      <c r="G20" s="243"/>
      <c r="H20" s="244" t="s">
        <v>130</v>
      </c>
      <c r="I20" s="244" t="s">
        <v>131</v>
      </c>
      <c r="J20" s="279" t="s">
        <v>199</v>
      </c>
      <c r="K20" s="280" t="s">
        <v>200</v>
      </c>
      <c r="L20" s="281" t="s">
        <v>201</v>
      </c>
      <c r="M20" s="281" t="s">
        <v>202</v>
      </c>
      <c r="N20" s="248" t="s">
        <v>132</v>
      </c>
      <c r="O20" s="248" t="s">
        <v>132</v>
      </c>
      <c r="P20" s="249" t="s">
        <v>203</v>
      </c>
      <c r="Q20" s="282" t="s">
        <v>21</v>
      </c>
      <c r="R20" s="282" t="b">
        <f>OR(AND(COUNTA(B21:B25)=3,COUNTA(C21:G25)=6),AND(COUNTA(B21:B25)=4,COUNTA(C21:G25)=12),AND(COUNTA(B21:B25)=5,COUNTA(C21:G25)=20))</f>
        <v>0</v>
      </c>
      <c r="S20" s="283" t="s">
        <v>204</v>
      </c>
      <c r="T20" s="284" t="s">
        <v>205</v>
      </c>
      <c r="U20" s="253"/>
      <c r="V20" s="253"/>
      <c r="W20" s="253"/>
      <c r="X20" s="253"/>
      <c r="Y20" s="253"/>
      <c r="Z20" s="253"/>
      <c r="AA20" s="253"/>
      <c r="AD20" s="211">
        <f t="shared" si="0"/>
        <v>0</v>
      </c>
      <c r="AE20" s="212" t="str">
        <f>IFERROR(INDEX(V!$R:$R,MATCH(AF20,V!$L:$L,0)),"")</f>
        <v/>
      </c>
      <c r="AF20" s="213" t="str">
        <f t="shared" si="1"/>
        <v/>
      </c>
      <c r="AG20" s="212" t="str">
        <f>IFERROR(INDEX(V!$R:$R,MATCH(AH20,V!$L:$L,0)),"")</f>
        <v/>
      </c>
      <c r="AH20" s="213" t="str">
        <f t="shared" si="2"/>
        <v/>
      </c>
      <c r="AI20" s="212" t="str">
        <f>IFERROR(INDEX(V!$R:$R,MATCH(AJ20,V!$L:$L,0)),"")</f>
        <v/>
      </c>
      <c r="AJ20" s="213" t="str">
        <f t="shared" si="3"/>
        <v/>
      </c>
      <c r="AK20" s="212" t="str">
        <f>IFERROR(INDEX(V!$R:$R,MATCH(AL20,V!$L:$L,0)),"")</f>
        <v/>
      </c>
      <c r="AL20" s="213" t="str">
        <f t="shared" si="4"/>
        <v/>
      </c>
      <c r="AM20" s="212" t="str">
        <f>IFERROR(INDEX(V!$R:$R,MATCH(AN20,V!$L:$L,0)),"")</f>
        <v/>
      </c>
      <c r="AN20" s="213" t="str">
        <f t="shared" si="5"/>
        <v/>
      </c>
      <c r="AO20" s="212" t="str">
        <f>IFERROR(INDEX(V!$R:$R,MATCH(AP20,V!$L:$L,0)),"")</f>
        <v/>
      </c>
      <c r="AP20" s="213" t="str">
        <f t="shared" si="6"/>
        <v/>
      </c>
    </row>
    <row r="21" spans="1:42" hidden="1" x14ac:dyDescent="0.2">
      <c r="A21" s="188">
        <v>1</v>
      </c>
      <c r="B21" s="255"/>
      <c r="C21" s="191"/>
      <c r="D21" s="190"/>
      <c r="E21" s="190"/>
      <c r="F21" s="190"/>
      <c r="G21" s="190"/>
      <c r="H21" s="189" t="str">
        <f>(IF(D21-C22&gt;0,1)+IF(E21-C23&gt;0,1)+IF(F21-C24&gt;0,1)+IF(G21-C25&gt;0,1))&amp;"-"&amp;(IF(D21-C22&lt;0,1)+IF(E21-C23&lt;0,1)+IF(F21-C24&lt;0,1)+IF(G21-C25&lt;0,1))</f>
        <v>0-0</v>
      </c>
      <c r="I21" s="190" t="str">
        <f>IF(AND(B21&lt;&gt;"",R$20=TRUE),A$20&amp;RANK(S21,S$21:S$25,0)," ")</f>
        <v xml:space="preserve"> </v>
      </c>
      <c r="J21" s="256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257">
        <f>SUM(AND(T21=T22,D21&gt;C22),AND(T21=T23,E21&gt;C23),AND(T21=T24,F21&gt;C24),AND(T21=T25,G21&gt;C25))</f>
        <v>0</v>
      </c>
      <c r="L21" s="258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259">
        <f>SUM(AND(R21=R22,D21&gt;C22),AND(R21=R23,E21&gt;C23),AND(R21=R24,F21&gt;C24),AND(R21=R25,G21&gt;C25))</f>
        <v>0</v>
      </c>
      <c r="N21" s="305" t="str">
        <f>SUM(C21:G21)&amp;"-"&amp;SUM(C21:C25)</f>
        <v>0-0</v>
      </c>
      <c r="O21" s="306">
        <f>D21+E21+F21+G21-C22-C23-C24-C25</f>
        <v>0</v>
      </c>
      <c r="P21" s="260" t="e">
        <f>SUM(C21:G21,C21:C25)/SUM(C21:C25)</f>
        <v>#DIV/0!</v>
      </c>
      <c r="Q21" s="192">
        <f>VALUE(LEFT(H21,1))</f>
        <v>0</v>
      </c>
      <c r="R21" s="193">
        <f>Q21*100000+J21*10000+K21*1000+100*L21</f>
        <v>0</v>
      </c>
      <c r="S21" s="261">
        <f>R21+M21*0.1+IF(ISNONTEXT(B21),0,0.01)+0.0001*O21</f>
        <v>0</v>
      </c>
      <c r="T21" s="262" t="str">
        <f>Q21&amp;J21</f>
        <v>00</v>
      </c>
      <c r="U21" s="253"/>
      <c r="V21" s="253"/>
      <c r="W21" s="253"/>
      <c r="X21" s="253"/>
      <c r="Y21" s="253"/>
      <c r="Z21" s="253"/>
      <c r="AA21" s="253"/>
      <c r="AD21" s="211">
        <f t="shared" si="0"/>
        <v>0</v>
      </c>
      <c r="AE21" s="212" t="str">
        <f>IFERROR(INDEX(V!$R:$R,MATCH(AF21,V!$L:$L,0)),"")</f>
        <v/>
      </c>
      <c r="AF21" s="213" t="str">
        <f t="shared" si="1"/>
        <v/>
      </c>
      <c r="AG21" s="212" t="str">
        <f>IFERROR(INDEX(V!$R:$R,MATCH(AH21,V!$L:$L,0)),"")</f>
        <v/>
      </c>
      <c r="AH21" s="213" t="str">
        <f t="shared" si="2"/>
        <v/>
      </c>
      <c r="AI21" s="212" t="str">
        <f>IFERROR(INDEX(V!$R:$R,MATCH(AJ21,V!$L:$L,0)),"")</f>
        <v/>
      </c>
      <c r="AJ21" s="213" t="str">
        <f t="shared" si="3"/>
        <v/>
      </c>
      <c r="AK21" s="212" t="str">
        <f>IFERROR(INDEX(V!$R:$R,MATCH(AL21,V!$L:$L,0)),"")</f>
        <v/>
      </c>
      <c r="AL21" s="213" t="str">
        <f t="shared" si="4"/>
        <v/>
      </c>
      <c r="AM21" s="212" t="str">
        <f>IFERROR(INDEX(V!$R:$R,MATCH(AN21,V!$L:$L,0)),"")</f>
        <v/>
      </c>
      <c r="AN21" s="213" t="str">
        <f t="shared" si="5"/>
        <v/>
      </c>
      <c r="AO21" s="212" t="str">
        <f>IFERROR(INDEX(V!$R:$R,MATCH(AP21,V!$L:$L,0)),"")</f>
        <v/>
      </c>
      <c r="AP21" s="213" t="str">
        <f t="shared" si="6"/>
        <v/>
      </c>
    </row>
    <row r="22" spans="1:42" hidden="1" x14ac:dyDescent="0.2">
      <c r="A22" s="188">
        <v>2</v>
      </c>
      <c r="B22" s="263"/>
      <c r="C22" s="190"/>
      <c r="D22" s="191"/>
      <c r="E22" s="190"/>
      <c r="F22" s="190"/>
      <c r="G22" s="190"/>
      <c r="H22" s="189" t="str">
        <f>(IF(C22-D21&gt;0,1)+IF(E22-D23&gt;0,1)+IF(F22-D24&gt;0,1)+IF(G22-D25&gt;0,1))&amp;"-"&amp;(IF(C22-D21&lt;0,1)+IF(E22-D23&lt;0,1)+IF(F22-D24&lt;0,1)+IF(G22-D25&lt;0,1))</f>
        <v>0-0</v>
      </c>
      <c r="I22" s="190" t="str">
        <f t="shared" ref="I22:I25" si="7">IF(AND(B22&lt;&gt;"",R$20=TRUE),A$20&amp;RANK(S22,S$21:S$25,0)," ")</f>
        <v xml:space="preserve"> </v>
      </c>
      <c r="J22" s="264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59">
        <f>SUM(AND(T22=T21,C22&gt;D21),AND(T22=T23,E22&gt;D23),AND(T22=T24,F22&gt;D24),AND(T22=T25,G22&gt;D25))</f>
        <v>0</v>
      </c>
      <c r="L22" s="265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259">
        <f>SUM(AND(R22=R21,C22&gt;D21),AND(R22=R23,E22&gt;D23),AND(R22=R24,F22&gt;D24),AND(R22=R25,G22&gt;D25))</f>
        <v>0</v>
      </c>
      <c r="N22" s="305" t="str">
        <f>SUM(C22:G22)&amp;"-"&amp;SUM(D21:D25)</f>
        <v>0-0</v>
      </c>
      <c r="O22" s="306">
        <f>C22+E22+F22+G22-D21-D23-D24-D25</f>
        <v>0</v>
      </c>
      <c r="P22" s="260" t="e">
        <f>SUM(C22:G22,D21:D25)/SUM(D21:D25)</f>
        <v>#DIV/0!</v>
      </c>
      <c r="Q22" s="266">
        <f>VALUE(LEFT(H22,1))</f>
        <v>0</v>
      </c>
      <c r="R22" s="193">
        <f>Q22*100000+J22*10000+K22*1000+100*L22</f>
        <v>0</v>
      </c>
      <c r="S22" s="261">
        <f>R22+M22*0.1+IF(ISNONTEXT(B22),0,0.01)+0.0001*O22</f>
        <v>0</v>
      </c>
      <c r="T22" s="262" t="str">
        <f>Q22&amp;J22</f>
        <v>00</v>
      </c>
      <c r="U22" s="253"/>
      <c r="V22" s="253"/>
      <c r="W22" s="253"/>
      <c r="X22" s="253"/>
      <c r="Y22" s="253"/>
      <c r="Z22" s="253"/>
      <c r="AA22" s="253"/>
      <c r="AD22" s="211">
        <f t="shared" si="0"/>
        <v>0</v>
      </c>
      <c r="AE22" s="212" t="str">
        <f>IFERROR(INDEX(V!$R:$R,MATCH(AF22,V!$L:$L,0)),"")</f>
        <v/>
      </c>
      <c r="AF22" s="213" t="str">
        <f t="shared" si="1"/>
        <v/>
      </c>
      <c r="AG22" s="212" t="str">
        <f>IFERROR(INDEX(V!$R:$R,MATCH(AH22,V!$L:$L,0)),"")</f>
        <v/>
      </c>
      <c r="AH22" s="213" t="str">
        <f t="shared" si="2"/>
        <v/>
      </c>
      <c r="AI22" s="212" t="str">
        <f>IFERROR(INDEX(V!$R:$R,MATCH(AJ22,V!$L:$L,0)),"")</f>
        <v/>
      </c>
      <c r="AJ22" s="213" t="str">
        <f t="shared" si="3"/>
        <v/>
      </c>
      <c r="AK22" s="212" t="str">
        <f>IFERROR(INDEX(V!$R:$R,MATCH(AL22,V!$L:$L,0)),"")</f>
        <v/>
      </c>
      <c r="AL22" s="213" t="str">
        <f t="shared" si="4"/>
        <v/>
      </c>
      <c r="AM22" s="212" t="str">
        <f>IFERROR(INDEX(V!$R:$R,MATCH(AN22,V!$L:$L,0)),"")</f>
        <v/>
      </c>
      <c r="AN22" s="213" t="str">
        <f t="shared" si="5"/>
        <v/>
      </c>
      <c r="AO22" s="212" t="str">
        <f>IFERROR(INDEX(V!$R:$R,MATCH(AP22,V!$L:$L,0)),"")</f>
        <v/>
      </c>
      <c r="AP22" s="213" t="str">
        <f t="shared" si="6"/>
        <v/>
      </c>
    </row>
    <row r="23" spans="1:42" hidden="1" x14ac:dyDescent="0.2">
      <c r="A23" s="188">
        <v>3</v>
      </c>
      <c r="B23" s="263"/>
      <c r="C23" s="190"/>
      <c r="D23" s="267"/>
      <c r="E23" s="191"/>
      <c r="F23" s="190"/>
      <c r="G23" s="190"/>
      <c r="H23" s="189" t="str">
        <f>(IF(C23-E21&gt;0,1)+IF(D23-E22&gt;0,1)+IF(F23-E24&gt;0,1)+IF(G23-E25&gt;0,1))&amp;"-"&amp;(IF(C23-E21&lt;0,1)+IF(D23-E22&lt;0,1)+IF(F23-E24&lt;0,1)+IF(G23-E25&lt;0,1))</f>
        <v>0-0</v>
      </c>
      <c r="I23" s="190" t="str">
        <f t="shared" si="7"/>
        <v xml:space="preserve"> </v>
      </c>
      <c r="J23" s="264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59">
        <f>SUM(AND(T23=T21,C23&gt;E21),AND(T23=T22,D23&gt;E22),AND(T23=T24,F23&gt;E24),AND(T23=T25,G23&gt;E25))</f>
        <v>0</v>
      </c>
      <c r="L23" s="265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59">
        <f>SUM(AND(R23=R21,C23&gt;E21),AND(R23=R22,D23&gt;E22),AND(R23=R24,F23&gt;E24),AND(R23=R25,G23&gt;E25))</f>
        <v>0</v>
      </c>
      <c r="N23" s="305" t="str">
        <f>SUM(C23:G23)&amp;"-"&amp;SUM(E21:E25)</f>
        <v>0-0</v>
      </c>
      <c r="O23" s="306">
        <f>C23+D23+F23+G23-E21-E22-E24-E25</f>
        <v>0</v>
      </c>
      <c r="P23" s="260" t="e">
        <f>SUM(C23:G23,E21:E25)/SUM(E21:E25)</f>
        <v>#DIV/0!</v>
      </c>
      <c r="Q23" s="266">
        <f>VALUE(LEFT(H23,1))</f>
        <v>0</v>
      </c>
      <c r="R23" s="193">
        <f>Q23*100000+J23*10000+K23*1000+100*L23</f>
        <v>0</v>
      </c>
      <c r="S23" s="261">
        <f>R23+M23*0.1+IF(ISNONTEXT(B23),0,0.01)+0.0001*O23</f>
        <v>0</v>
      </c>
      <c r="T23" s="262" t="str">
        <f>Q23&amp;J23</f>
        <v>00</v>
      </c>
      <c r="U23" s="253"/>
      <c r="V23" s="253"/>
      <c r="W23" s="253"/>
      <c r="X23" s="253"/>
      <c r="Y23" s="253"/>
      <c r="Z23" s="253"/>
      <c r="AA23" s="253"/>
      <c r="AD23" s="211">
        <f t="shared" si="0"/>
        <v>0</v>
      </c>
      <c r="AE23" s="212" t="str">
        <f>IFERROR(INDEX(V!$R:$R,MATCH(AF23,V!$L:$L,0)),"")</f>
        <v/>
      </c>
      <c r="AF23" s="213" t="str">
        <f t="shared" si="1"/>
        <v/>
      </c>
      <c r="AG23" s="212" t="str">
        <f>IFERROR(INDEX(V!$R:$R,MATCH(AH23,V!$L:$L,0)),"")</f>
        <v/>
      </c>
      <c r="AH23" s="213" t="str">
        <f t="shared" si="2"/>
        <v/>
      </c>
      <c r="AI23" s="212" t="str">
        <f>IFERROR(INDEX(V!$R:$R,MATCH(AJ23,V!$L:$L,0)),"")</f>
        <v/>
      </c>
      <c r="AJ23" s="213" t="str">
        <f t="shared" si="3"/>
        <v/>
      </c>
      <c r="AK23" s="212" t="str">
        <f>IFERROR(INDEX(V!$R:$R,MATCH(AL23,V!$L:$L,0)),"")</f>
        <v/>
      </c>
      <c r="AL23" s="213" t="str">
        <f t="shared" si="4"/>
        <v/>
      </c>
      <c r="AM23" s="212" t="str">
        <f>IFERROR(INDEX(V!$R:$R,MATCH(AN23,V!$L:$L,0)),"")</f>
        <v/>
      </c>
      <c r="AN23" s="213" t="str">
        <f t="shared" si="5"/>
        <v/>
      </c>
      <c r="AO23" s="212" t="str">
        <f>IFERROR(INDEX(V!$R:$R,MATCH(AP23,V!$L:$L,0)),"")</f>
        <v/>
      </c>
      <c r="AP23" s="213" t="str">
        <f t="shared" si="6"/>
        <v/>
      </c>
    </row>
    <row r="24" spans="1:42" hidden="1" x14ac:dyDescent="0.2">
      <c r="A24" s="188">
        <v>4</v>
      </c>
      <c r="B24" s="263"/>
      <c r="C24" s="190"/>
      <c r="D24" s="267"/>
      <c r="E24" s="190"/>
      <c r="F24" s="191"/>
      <c r="G24" s="286"/>
      <c r="H24" s="189" t="str">
        <f>(IF(C24-F21&gt;0,1)+IF(D24-F22&gt;0,1)+IF(E24-F23&gt;0,1)+IF(G24-F25&gt;0,1))&amp;"-"&amp;(IF(C24-F21&lt;0,1)+IF(D24-F22&lt;0,1)+IF(E24-F23&lt;0,1)+IF(G24-F25&lt;0,1))</f>
        <v>0-0</v>
      </c>
      <c r="I24" s="190" t="str">
        <f t="shared" si="7"/>
        <v xml:space="preserve"> </v>
      </c>
      <c r="J24" s="264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0</v>
      </c>
      <c r="K24" s="259">
        <f>SUM(AND(T24=T21,C24&gt;F21),AND(T24=T22,D24&gt;F22),AND(T24=T23,E24&gt;F23),AND(T24=T25,G24&gt;F25))</f>
        <v>0</v>
      </c>
      <c r="L24" s="265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0</v>
      </c>
      <c r="M24" s="259">
        <f>SUM(AND(R24=R21,C24&gt;F21),AND(R24=R22,D24&gt;F22),AND(R24=R23,E24&gt;F23),AND(R24=R25,G24&gt;F25))</f>
        <v>0</v>
      </c>
      <c r="N24" s="305" t="str">
        <f>SUM(C24:G24)&amp;"-"&amp;SUM(F21:F25)</f>
        <v>0-0</v>
      </c>
      <c r="O24" s="306">
        <f>C24+D24+E24+G24-F21-F22-F23-F25</f>
        <v>0</v>
      </c>
      <c r="P24" s="260" t="e">
        <f>SUM(C24:G24,F21:F25)/SUM(F21:F25)</f>
        <v>#DIV/0!</v>
      </c>
      <c r="Q24" s="266">
        <f>VALUE(LEFT(H24,1))</f>
        <v>0</v>
      </c>
      <c r="R24" s="193">
        <f>Q24*100000+J24*10000+K24*1000+100*L24</f>
        <v>0</v>
      </c>
      <c r="S24" s="261">
        <f>R24+M24*0.1+IF(ISNONTEXT(B24),0,0.01)+0.0001*O24</f>
        <v>0</v>
      </c>
      <c r="T24" s="262" t="str">
        <f>Q24&amp;J24</f>
        <v>00</v>
      </c>
      <c r="U24" s="253"/>
      <c r="V24" s="253"/>
      <c r="W24" s="253"/>
      <c r="X24" s="253"/>
      <c r="Y24" s="253"/>
      <c r="Z24" s="253"/>
      <c r="AA24" s="253"/>
      <c r="AD24" s="211">
        <f t="shared" si="0"/>
        <v>0</v>
      </c>
      <c r="AE24" s="212" t="str">
        <f>IFERROR(INDEX(V!$R:$R,MATCH(AF24,V!$L:$L,0)),"")</f>
        <v/>
      </c>
      <c r="AF24" s="213" t="str">
        <f t="shared" si="1"/>
        <v/>
      </c>
      <c r="AG24" s="212" t="str">
        <f>IFERROR(INDEX(V!$R:$R,MATCH(AH24,V!$L:$L,0)),"")</f>
        <v/>
      </c>
      <c r="AH24" s="213" t="str">
        <f t="shared" si="2"/>
        <v/>
      </c>
      <c r="AI24" s="212" t="str">
        <f>IFERROR(INDEX(V!$R:$R,MATCH(AJ24,V!$L:$L,0)),"")</f>
        <v/>
      </c>
      <c r="AJ24" s="213" t="str">
        <f t="shared" si="3"/>
        <v/>
      </c>
      <c r="AK24" s="212" t="str">
        <f>IFERROR(INDEX(V!$R:$R,MATCH(AL24,V!$L:$L,0)),"")</f>
        <v/>
      </c>
      <c r="AL24" s="213" t="str">
        <f t="shared" si="4"/>
        <v/>
      </c>
      <c r="AM24" s="212" t="str">
        <f>IFERROR(INDEX(V!$R:$R,MATCH(AN24,V!$L:$L,0)),"")</f>
        <v/>
      </c>
      <c r="AN24" s="213" t="str">
        <f t="shared" si="5"/>
        <v/>
      </c>
      <c r="AO24" s="212" t="str">
        <f>IFERROR(INDEX(V!$R:$R,MATCH(AP24,V!$L:$L,0)),"")</f>
        <v/>
      </c>
      <c r="AP24" s="213" t="str">
        <f t="shared" si="6"/>
        <v/>
      </c>
    </row>
    <row r="25" spans="1:42" hidden="1" x14ac:dyDescent="0.2">
      <c r="A25" s="188">
        <v>5</v>
      </c>
      <c r="B25" s="268"/>
      <c r="C25" s="190"/>
      <c r="D25" s="190"/>
      <c r="E25" s="190"/>
      <c r="F25" s="190"/>
      <c r="G25" s="191"/>
      <c r="H25" s="189" t="str">
        <f>(IF(C25-G21&gt;0,1)+IF(D25-G22&gt;0,1)+IF(E25-G23&gt;0,1)+IF(F25-G24&gt;0,1))&amp;"-"&amp;(IF(C25-G21&lt;0,1)+IF(D25-G22&lt;0,1)+IF(E25-G23&lt;0,1)+IF(F25-G24&lt;0,1))</f>
        <v>0-0</v>
      </c>
      <c r="I25" s="190" t="str">
        <f t="shared" si="7"/>
        <v xml:space="preserve"> </v>
      </c>
      <c r="J25" s="264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59">
        <f>SUM(AND(T25=T21,C25&gt;G21),AND(T25=T22,D25&gt;G22),AND(T25=T23,E25&gt;G23),AND(T25=T24,F25&gt;G24))</f>
        <v>0</v>
      </c>
      <c r="L25" s="265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259">
        <f>SUM(AND(R25=R21,C25&gt;G21),AND(R25=R22,D25&gt;G22),AND(R25=R23,E25&gt;G23),AND(R25=R24,F25&gt;G24))</f>
        <v>0</v>
      </c>
      <c r="N25" s="305" t="str">
        <f>SUM(C25:G25)&amp;"-"&amp;SUM(G21:G25)</f>
        <v>0-0</v>
      </c>
      <c r="O25" s="306">
        <f>C25+D25+E25+F25-G21-G22-G23-G24</f>
        <v>0</v>
      </c>
      <c r="P25" s="260" t="e">
        <f>SUM(C25:G25,G21:G25)/SUM(G21:G25)</f>
        <v>#DIV/0!</v>
      </c>
      <c r="Q25" s="266">
        <f>VALUE(LEFT(H25,1))</f>
        <v>0</v>
      </c>
      <c r="R25" s="193">
        <f>Q25*100000+J25*10000+K25*1000+100*L25</f>
        <v>0</v>
      </c>
      <c r="S25" s="261">
        <f>R25+M25*0.1+IF(ISNONTEXT(B25),0,0.01)+0.0001*O25</f>
        <v>0</v>
      </c>
      <c r="T25" s="262" t="str">
        <f>Q25&amp;J25</f>
        <v>00</v>
      </c>
      <c r="U25" s="253"/>
      <c r="V25" s="253"/>
      <c r="W25" s="253"/>
      <c r="X25" s="253"/>
      <c r="Y25" s="253"/>
      <c r="Z25" s="253"/>
      <c r="AA25" s="253"/>
      <c r="AD25" s="211">
        <f t="shared" si="0"/>
        <v>0</v>
      </c>
      <c r="AE25" s="212" t="str">
        <f>IFERROR(INDEX(V!$R:$R,MATCH(AF25,V!$L:$L,0)),"")</f>
        <v/>
      </c>
      <c r="AF25" s="213" t="str">
        <f t="shared" si="1"/>
        <v/>
      </c>
      <c r="AG25" s="212" t="str">
        <f>IFERROR(INDEX(V!$R:$R,MATCH(AH25,V!$L:$L,0)),"")</f>
        <v/>
      </c>
      <c r="AH25" s="213" t="str">
        <f t="shared" si="2"/>
        <v/>
      </c>
      <c r="AI25" s="212" t="str">
        <f>IFERROR(INDEX(V!$R:$R,MATCH(AJ25,V!$L:$L,0)),"")</f>
        <v/>
      </c>
      <c r="AJ25" s="213" t="str">
        <f t="shared" si="3"/>
        <v/>
      </c>
      <c r="AK25" s="212" t="str">
        <f>IFERROR(INDEX(V!$R:$R,MATCH(AL25,V!$L:$L,0)),"")</f>
        <v/>
      </c>
      <c r="AL25" s="213" t="str">
        <f t="shared" si="4"/>
        <v/>
      </c>
      <c r="AM25" s="212" t="str">
        <f>IFERROR(INDEX(V!$R:$R,MATCH(AN25,V!$L:$L,0)),"")</f>
        <v/>
      </c>
      <c r="AN25" s="213" t="str">
        <f t="shared" si="5"/>
        <v/>
      </c>
      <c r="AO25" s="212" t="str">
        <f>IFERROR(INDEX(V!$R:$R,MATCH(AP25,V!$L:$L,0)),"")</f>
        <v/>
      </c>
      <c r="AP25" s="213" t="str">
        <f t="shared" si="6"/>
        <v/>
      </c>
    </row>
    <row r="26" spans="1:42" hidden="1" x14ac:dyDescent="0.2">
      <c r="A26" s="288"/>
      <c r="B26" s="289"/>
      <c r="C26" s="274"/>
      <c r="D26" s="274"/>
      <c r="E26" s="274"/>
      <c r="F26" s="290"/>
      <c r="G26" s="290"/>
      <c r="H26" s="291"/>
      <c r="I26" s="292"/>
      <c r="J26" s="253"/>
      <c r="K26" s="253"/>
      <c r="L26" s="253"/>
      <c r="M26" s="253"/>
      <c r="N26" s="307"/>
      <c r="O26" s="307"/>
      <c r="P26" s="253"/>
      <c r="Q26" s="253"/>
      <c r="R26" s="277" t="s">
        <v>206</v>
      </c>
      <c r="S26" s="253"/>
      <c r="T26" s="253"/>
      <c r="U26" s="253"/>
      <c r="V26" s="253"/>
      <c r="W26" s="253"/>
      <c r="X26" s="253"/>
      <c r="Y26" s="253"/>
      <c r="Z26" s="253"/>
      <c r="AA26" s="253"/>
      <c r="AD26" s="211">
        <f t="shared" si="0"/>
        <v>0</v>
      </c>
      <c r="AE26" s="212" t="str">
        <f>IFERROR(INDEX(V!$R:$R,MATCH(AF26,V!$L:$L,0)),"")</f>
        <v/>
      </c>
      <c r="AF26" s="213" t="str">
        <f t="shared" si="1"/>
        <v/>
      </c>
      <c r="AG26" s="212" t="str">
        <f>IFERROR(INDEX(V!$R:$R,MATCH(AH26,V!$L:$L,0)),"")</f>
        <v/>
      </c>
      <c r="AH26" s="213" t="str">
        <f t="shared" si="2"/>
        <v/>
      </c>
      <c r="AI26" s="212" t="str">
        <f>IFERROR(INDEX(V!$R:$R,MATCH(AJ26,V!$L:$L,0)),"")</f>
        <v/>
      </c>
      <c r="AJ26" s="213" t="str">
        <f t="shared" si="3"/>
        <v/>
      </c>
      <c r="AK26" s="212" t="str">
        <f>IFERROR(INDEX(V!$R:$R,MATCH(AL26,V!$L:$L,0)),"")</f>
        <v/>
      </c>
      <c r="AL26" s="213" t="str">
        <f t="shared" si="4"/>
        <v/>
      </c>
      <c r="AM26" s="212" t="str">
        <f>IFERROR(INDEX(V!$R:$R,MATCH(AN26,V!$L:$L,0)),"")</f>
        <v/>
      </c>
      <c r="AN26" s="213" t="str">
        <f t="shared" si="5"/>
        <v/>
      </c>
      <c r="AO26" s="212" t="str">
        <f>IFERROR(INDEX(V!$R:$R,MATCH(AP26,V!$L:$L,0)),"")</f>
        <v/>
      </c>
      <c r="AP26" s="213" t="str">
        <f t="shared" si="6"/>
        <v/>
      </c>
    </row>
    <row r="27" spans="1:42" hidden="1" x14ac:dyDescent="0.2">
      <c r="A27" s="188" t="s">
        <v>3</v>
      </c>
      <c r="B27" s="278"/>
      <c r="C27" s="243">
        <v>1</v>
      </c>
      <c r="D27" s="243">
        <v>2</v>
      </c>
      <c r="E27" s="243">
        <v>3</v>
      </c>
      <c r="F27" s="243"/>
      <c r="G27" s="243"/>
      <c r="H27" s="244" t="s">
        <v>130</v>
      </c>
      <c r="I27" s="244" t="s">
        <v>131</v>
      </c>
      <c r="J27" s="279" t="s">
        <v>199</v>
      </c>
      <c r="K27" s="280" t="s">
        <v>200</v>
      </c>
      <c r="L27" s="281" t="s">
        <v>201</v>
      </c>
      <c r="M27" s="281" t="s">
        <v>202</v>
      </c>
      <c r="N27" s="248" t="s">
        <v>132</v>
      </c>
      <c r="O27" s="248" t="s">
        <v>132</v>
      </c>
      <c r="P27" s="249" t="s">
        <v>203</v>
      </c>
      <c r="Q27" s="282" t="s">
        <v>21</v>
      </c>
      <c r="R27" s="282" t="b">
        <f>OR(AND(COUNTA(B28:B32)=3,COUNTA(C28:G32)=6),AND(COUNTA(B28:B32)=4,COUNTA(C28:G32)=12),AND(COUNTA(B28:B32)=5,COUNTA(C28:G32)=20))</f>
        <v>0</v>
      </c>
      <c r="S27" s="283" t="s">
        <v>204</v>
      </c>
      <c r="T27" s="284" t="s">
        <v>205</v>
      </c>
      <c r="U27" s="253"/>
      <c r="V27" s="253"/>
      <c r="W27" s="253"/>
      <c r="X27" s="253"/>
      <c r="Y27" s="253"/>
      <c r="Z27" s="253"/>
      <c r="AA27" s="253"/>
      <c r="AD27" s="211">
        <f t="shared" si="0"/>
        <v>0</v>
      </c>
      <c r="AE27" s="212" t="str">
        <f>IFERROR(INDEX(V!$R:$R,MATCH(AF27,V!$L:$L,0)),"")</f>
        <v/>
      </c>
      <c r="AF27" s="213" t="str">
        <f t="shared" si="1"/>
        <v/>
      </c>
      <c r="AG27" s="212" t="str">
        <f>IFERROR(INDEX(V!$R:$R,MATCH(AH27,V!$L:$L,0)),"")</f>
        <v/>
      </c>
      <c r="AH27" s="213" t="str">
        <f t="shared" si="2"/>
        <v/>
      </c>
      <c r="AI27" s="212" t="str">
        <f>IFERROR(INDEX(V!$R:$R,MATCH(AJ27,V!$L:$L,0)),"")</f>
        <v/>
      </c>
      <c r="AJ27" s="213" t="str">
        <f t="shared" si="3"/>
        <v/>
      </c>
      <c r="AK27" s="212" t="str">
        <f>IFERROR(INDEX(V!$R:$R,MATCH(AL27,V!$L:$L,0)),"")</f>
        <v/>
      </c>
      <c r="AL27" s="213" t="str">
        <f t="shared" si="4"/>
        <v/>
      </c>
      <c r="AM27" s="212" t="str">
        <f>IFERROR(INDEX(V!$R:$R,MATCH(AN27,V!$L:$L,0)),"")</f>
        <v/>
      </c>
      <c r="AN27" s="213" t="str">
        <f t="shared" si="5"/>
        <v/>
      </c>
      <c r="AO27" s="212" t="str">
        <f>IFERROR(INDEX(V!$R:$R,MATCH(AP27,V!$L:$L,0)),"")</f>
        <v/>
      </c>
      <c r="AP27" s="213" t="str">
        <f t="shared" si="6"/>
        <v/>
      </c>
    </row>
    <row r="28" spans="1:42" hidden="1" x14ac:dyDescent="0.2">
      <c r="A28" s="188">
        <v>1</v>
      </c>
      <c r="B28" s="293"/>
      <c r="C28" s="191"/>
      <c r="D28" s="190"/>
      <c r="E28" s="190"/>
      <c r="F28" s="190"/>
      <c r="G28" s="190"/>
      <c r="H28" s="189" t="str">
        <f>(IF(D28-C29&gt;0,1)+IF(E28-C30&gt;0,1)+IF(F28-C31&gt;0,1)+IF(G28-C32&gt;0,1))&amp;"-"&amp;(IF(D28-C29&lt;0,1)+IF(E28-C30&lt;0,1)+IF(F28-C31&lt;0,1)+IF(G28-C32&lt;0,1))</f>
        <v>0-0</v>
      </c>
      <c r="I28" s="190" t="str">
        <f>IF(AND(B28&lt;&gt;"",R$27=TRUE),A$27&amp;RANK(S28,S$28:S$32,0)," ")</f>
        <v xml:space="preserve"> </v>
      </c>
      <c r="J28" s="256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0</v>
      </c>
      <c r="K28" s="257">
        <f>SUM(AND(T28=T29,D28&gt;C29),AND(T28=T30,E28&gt;C30),AND(T28=T31,F28&gt;C31),AND(T28=T32,G28&gt;C32))</f>
        <v>0</v>
      </c>
      <c r="L28" s="258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0</v>
      </c>
      <c r="M28" s="259">
        <f>SUM(AND(R28=R29,D28&gt;C29),AND(R28=R30,E28&gt;C30),AND(R28=R31,F28&gt;C31),AND(R28=R32,G28&gt;C32))</f>
        <v>0</v>
      </c>
      <c r="N28" s="305" t="str">
        <f>SUM(C28:G28)&amp;"-"&amp;SUM(C28:C32)</f>
        <v>0-0</v>
      </c>
      <c r="O28" s="306">
        <f>D28+E28+F28+G28-C29-C30-C31-C32</f>
        <v>0</v>
      </c>
      <c r="P28" s="260" t="e">
        <f>SUM(C28:G28,C28:C32)/SUM(C28:C32)</f>
        <v>#DIV/0!</v>
      </c>
      <c r="Q28" s="192">
        <f>VALUE(LEFT(H28,1))</f>
        <v>0</v>
      </c>
      <c r="R28" s="193">
        <f>Q28*100000+J28*10000+K28*1000+100*L28</f>
        <v>0</v>
      </c>
      <c r="S28" s="261">
        <f>R28+M28*0.1+IF(ISNONTEXT(B28),0,0.01)+0.0001*O28</f>
        <v>0</v>
      </c>
      <c r="T28" s="262" t="str">
        <f>Q28&amp;J28</f>
        <v>00</v>
      </c>
      <c r="U28" s="253"/>
      <c r="V28" s="253"/>
      <c r="W28" s="253"/>
      <c r="X28" s="253"/>
      <c r="Y28" s="253"/>
      <c r="Z28" s="253"/>
      <c r="AA28" s="253"/>
      <c r="AD28" s="211">
        <f t="shared" si="0"/>
        <v>0</v>
      </c>
      <c r="AE28" s="212" t="str">
        <f>IFERROR(INDEX(V!$R:$R,MATCH(AF28,V!$L:$L,0)),"")</f>
        <v/>
      </c>
      <c r="AF28" s="213" t="str">
        <f t="shared" si="1"/>
        <v/>
      </c>
      <c r="AG28" s="212" t="str">
        <f>IFERROR(INDEX(V!$R:$R,MATCH(AH28,V!$L:$L,0)),"")</f>
        <v/>
      </c>
      <c r="AH28" s="213" t="str">
        <f t="shared" si="2"/>
        <v/>
      </c>
      <c r="AI28" s="212" t="str">
        <f>IFERROR(INDEX(V!$R:$R,MATCH(AJ28,V!$L:$L,0)),"")</f>
        <v/>
      </c>
      <c r="AJ28" s="213" t="str">
        <f t="shared" si="3"/>
        <v/>
      </c>
      <c r="AK28" s="212" t="str">
        <f>IFERROR(INDEX(V!$R:$R,MATCH(AL28,V!$L:$L,0)),"")</f>
        <v/>
      </c>
      <c r="AL28" s="213" t="str">
        <f t="shared" si="4"/>
        <v/>
      </c>
      <c r="AM28" s="212" t="str">
        <f>IFERROR(INDEX(V!$R:$R,MATCH(AN28,V!$L:$L,0)),"")</f>
        <v/>
      </c>
      <c r="AN28" s="213" t="str">
        <f t="shared" si="5"/>
        <v/>
      </c>
      <c r="AO28" s="212" t="str">
        <f>IFERROR(INDEX(V!$R:$R,MATCH(AP28,V!$L:$L,0)),"")</f>
        <v/>
      </c>
      <c r="AP28" s="213" t="str">
        <f t="shared" si="6"/>
        <v/>
      </c>
    </row>
    <row r="29" spans="1:42" hidden="1" x14ac:dyDescent="0.2">
      <c r="A29" s="188">
        <v>2</v>
      </c>
      <c r="B29" s="263"/>
      <c r="C29" s="190"/>
      <c r="D29" s="191"/>
      <c r="E29" s="190"/>
      <c r="F29" s="190"/>
      <c r="G29" s="190"/>
      <c r="H29" s="189" t="str">
        <f>(IF(C29-D28&gt;0,1)+IF(E29-D30&gt;0,1)+IF(F29-D31&gt;0,1)+IF(G29-D32&gt;0,1))&amp;"-"&amp;(IF(C29-D28&lt;0,1)+IF(E29-D30&lt;0,1)+IF(F29-D31&lt;0,1)+IF(G29-D32&lt;0,1))</f>
        <v>0-0</v>
      </c>
      <c r="I29" s="190" t="str">
        <f t="shared" ref="I29:I32" si="8">IF(AND(B29&lt;&gt;"",R$27=TRUE),A$27&amp;RANK(S29,S$28:S$32,0)," ")</f>
        <v xml:space="preserve"> </v>
      </c>
      <c r="J29" s="264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59">
        <f>SUM(AND(T29=T28,C29&gt;D28),AND(T29=T30,E29&gt;D30),AND(T29=T31,F29&gt;D31),AND(T29=T32,G29&gt;D32))</f>
        <v>0</v>
      </c>
      <c r="L29" s="265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0</v>
      </c>
      <c r="M29" s="259">
        <f>SUM(AND(R29=R28,C29&gt;D28),AND(R29=R30,E29&gt;D30),AND(R29=R31,F29&gt;D31),AND(R29=R32,G29&gt;D32))</f>
        <v>0</v>
      </c>
      <c r="N29" s="305" t="str">
        <f>SUM(C29:G29)&amp;"-"&amp;SUM(D28:D32)</f>
        <v>0-0</v>
      </c>
      <c r="O29" s="306">
        <f>C29+E29+F29+G29-D28-D30-D31-D32</f>
        <v>0</v>
      </c>
      <c r="P29" s="260" t="e">
        <f>SUM(C29:G29,D28:D32)/SUM(D28:D32)</f>
        <v>#DIV/0!</v>
      </c>
      <c r="Q29" s="266">
        <f>VALUE(LEFT(H29,1))</f>
        <v>0</v>
      </c>
      <c r="R29" s="193">
        <f>Q29*100000+J29*10000+K29*1000+100*L29</f>
        <v>0</v>
      </c>
      <c r="S29" s="261">
        <f>R29+M29*0.1+IF(ISNONTEXT(B29),0,0.01)+0.0001*O29</f>
        <v>0</v>
      </c>
      <c r="T29" s="262" t="str">
        <f>Q29&amp;J29</f>
        <v>00</v>
      </c>
      <c r="U29" s="253"/>
      <c r="V29" s="253"/>
      <c r="W29" s="253"/>
      <c r="X29" s="253"/>
      <c r="Y29" s="253"/>
      <c r="Z29" s="253"/>
      <c r="AA29" s="253"/>
      <c r="AD29" s="211">
        <f t="shared" si="0"/>
        <v>0</v>
      </c>
      <c r="AE29" s="212" t="str">
        <f>IFERROR(INDEX(V!$R:$R,MATCH(AF29,V!$L:$L,0)),"")</f>
        <v/>
      </c>
      <c r="AF29" s="213" t="str">
        <f t="shared" si="1"/>
        <v/>
      </c>
      <c r="AG29" s="212" t="str">
        <f>IFERROR(INDEX(V!$R:$R,MATCH(AH29,V!$L:$L,0)),"")</f>
        <v/>
      </c>
      <c r="AH29" s="213" t="str">
        <f t="shared" si="2"/>
        <v/>
      </c>
      <c r="AI29" s="212" t="str">
        <f>IFERROR(INDEX(V!$R:$R,MATCH(AJ29,V!$L:$L,0)),"")</f>
        <v/>
      </c>
      <c r="AJ29" s="213" t="str">
        <f t="shared" si="3"/>
        <v/>
      </c>
      <c r="AK29" s="212" t="str">
        <f>IFERROR(INDEX(V!$R:$R,MATCH(AL29,V!$L:$L,0)),"")</f>
        <v/>
      </c>
      <c r="AL29" s="213" t="str">
        <f t="shared" si="4"/>
        <v/>
      </c>
      <c r="AM29" s="212" t="str">
        <f>IFERROR(INDEX(V!$R:$R,MATCH(AN29,V!$L:$L,0)),"")</f>
        <v/>
      </c>
      <c r="AN29" s="213" t="str">
        <f t="shared" si="5"/>
        <v/>
      </c>
      <c r="AO29" s="212" t="str">
        <f>IFERROR(INDEX(V!$R:$R,MATCH(AP29,V!$L:$L,0)),"")</f>
        <v/>
      </c>
      <c r="AP29" s="213" t="str">
        <f t="shared" si="6"/>
        <v/>
      </c>
    </row>
    <row r="30" spans="1:42" hidden="1" x14ac:dyDescent="0.2">
      <c r="A30" s="188">
        <v>3</v>
      </c>
      <c r="B30" s="263"/>
      <c r="C30" s="190"/>
      <c r="D30" s="267"/>
      <c r="E30" s="191"/>
      <c r="F30" s="190"/>
      <c r="G30" s="190"/>
      <c r="H30" s="189" t="str">
        <f>(IF(C30-E28&gt;0,1)+IF(D30-E29&gt;0,1)+IF(F30-E31&gt;0,1)+IF(G30-E32&gt;0,1))&amp;"-"&amp;(IF(C30-E28&lt;0,1)+IF(D30-E29&lt;0,1)+IF(F30-E31&lt;0,1)+IF(G30-E32&lt;0,1))</f>
        <v>0-0</v>
      </c>
      <c r="I30" s="190" t="str">
        <f t="shared" si="8"/>
        <v xml:space="preserve"> </v>
      </c>
      <c r="J30" s="264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59">
        <f>SUM(AND(T30=T28,C30&gt;E28),AND(T30=T29,D30&gt;E29),AND(T30=T31,F30&gt;E31),AND(T30=T32,G30&gt;E32))</f>
        <v>0</v>
      </c>
      <c r="L30" s="265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59">
        <f>SUM(AND(R30=R28,C30&gt;E28),AND(R30=R29,D30&gt;E29),AND(R30=R31,F30&gt;E31),AND(R30=R32,G30&gt;E32))</f>
        <v>0</v>
      </c>
      <c r="N30" s="305" t="str">
        <f>SUM(C30:G30)&amp;"-"&amp;SUM(E28:E32)</f>
        <v>0-0</v>
      </c>
      <c r="O30" s="306">
        <f>C30+D30+F30+G30-E28-E29-E31-E32</f>
        <v>0</v>
      </c>
      <c r="P30" s="260" t="e">
        <f>SUM(C30:G30,E28:E32)/SUM(E28:E32)</f>
        <v>#DIV/0!</v>
      </c>
      <c r="Q30" s="266">
        <f>VALUE(LEFT(H30,1))</f>
        <v>0</v>
      </c>
      <c r="R30" s="193">
        <f>Q30*100000+J30*10000+K30*1000+100*L30</f>
        <v>0</v>
      </c>
      <c r="S30" s="261">
        <f>R30+M30*0.1+IF(ISNONTEXT(B30),0,0.01)+0.0001*O30</f>
        <v>0</v>
      </c>
      <c r="T30" s="262" t="str">
        <f>Q30&amp;J30</f>
        <v>00</v>
      </c>
      <c r="U30" s="253"/>
      <c r="V30" s="253"/>
      <c r="W30" s="253"/>
      <c r="X30" s="253"/>
      <c r="Y30" s="253"/>
      <c r="Z30" s="253"/>
      <c r="AA30" s="253"/>
      <c r="AD30" s="211">
        <f t="shared" si="0"/>
        <v>0</v>
      </c>
      <c r="AE30" s="212" t="str">
        <f>IFERROR(INDEX(V!$R:$R,MATCH(AF30,V!$L:$L,0)),"")</f>
        <v/>
      </c>
      <c r="AF30" s="213" t="str">
        <f t="shared" si="1"/>
        <v/>
      </c>
      <c r="AG30" s="212" t="str">
        <f>IFERROR(INDEX(V!$R:$R,MATCH(AH30,V!$L:$L,0)),"")</f>
        <v/>
      </c>
      <c r="AH30" s="213" t="str">
        <f t="shared" si="2"/>
        <v/>
      </c>
      <c r="AI30" s="212" t="str">
        <f>IFERROR(INDEX(V!$R:$R,MATCH(AJ30,V!$L:$L,0)),"")</f>
        <v/>
      </c>
      <c r="AJ30" s="213" t="str">
        <f t="shared" si="3"/>
        <v/>
      </c>
      <c r="AK30" s="212" t="str">
        <f>IFERROR(INDEX(V!$R:$R,MATCH(AL30,V!$L:$L,0)),"")</f>
        <v/>
      </c>
      <c r="AL30" s="213" t="str">
        <f t="shared" si="4"/>
        <v/>
      </c>
      <c r="AM30" s="212" t="str">
        <f>IFERROR(INDEX(V!$R:$R,MATCH(AN30,V!$L:$L,0)),"")</f>
        <v/>
      </c>
      <c r="AN30" s="213" t="str">
        <f t="shared" si="5"/>
        <v/>
      </c>
      <c r="AO30" s="212" t="str">
        <f>IFERROR(INDEX(V!$R:$R,MATCH(AP30,V!$L:$L,0)),"")</f>
        <v/>
      </c>
      <c r="AP30" s="213" t="str">
        <f t="shared" si="6"/>
        <v/>
      </c>
    </row>
    <row r="31" spans="1:42" hidden="1" x14ac:dyDescent="0.2">
      <c r="A31" s="188">
        <v>4</v>
      </c>
      <c r="B31" s="268"/>
      <c r="C31" s="190"/>
      <c r="D31" s="267"/>
      <c r="E31" s="190"/>
      <c r="F31" s="191"/>
      <c r="G31" s="286"/>
      <c r="H31" s="189" t="str">
        <f>(IF(C31-F28&gt;0,1)+IF(D31-F29&gt;0,1)+IF(E31-F30&gt;0,1)+IF(G31-F32&gt;0,1))&amp;"-"&amp;(IF(C31-F28&lt;0,1)+IF(D31-F29&lt;0,1)+IF(E31-F30&lt;0,1)+IF(G31-F32&lt;0,1))</f>
        <v>0-0</v>
      </c>
      <c r="I31" s="190" t="str">
        <f t="shared" si="8"/>
        <v xml:space="preserve"> </v>
      </c>
      <c r="J31" s="264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0</v>
      </c>
      <c r="K31" s="259">
        <f>SUM(AND(T31=T28,C31&gt;F28),AND(T31=T29,D31&gt;F29),AND(T31=T30,E31&gt;F30),AND(T31=T32,G31&gt;F32))</f>
        <v>0</v>
      </c>
      <c r="L31" s="265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0</v>
      </c>
      <c r="M31" s="259">
        <f>SUM(AND(R31=R28,C31&gt;F28),AND(R31=R29,D31&gt;F29),AND(R31=R30,E31&gt;F30),AND(R31=R32,G31&gt;F32))</f>
        <v>0</v>
      </c>
      <c r="N31" s="305" t="str">
        <f>SUM(C31:G31)&amp;"-"&amp;SUM(F28:F32)</f>
        <v>0-0</v>
      </c>
      <c r="O31" s="306">
        <f>C31+D31+E31+G31-F28-F29-F30-F32</f>
        <v>0</v>
      </c>
      <c r="P31" s="260" t="e">
        <f>SUM(C31:G31,F28:F32)/SUM(F28:F32)</f>
        <v>#DIV/0!</v>
      </c>
      <c r="Q31" s="266">
        <f>VALUE(LEFT(H31,1))</f>
        <v>0</v>
      </c>
      <c r="R31" s="193">
        <f>Q31*100000+J31*10000+K31*1000+100*L31</f>
        <v>0</v>
      </c>
      <c r="S31" s="261">
        <f>R31+M31*0.1+IF(ISNONTEXT(B31),0,0.01)+0.0001*O31</f>
        <v>0</v>
      </c>
      <c r="T31" s="262" t="str">
        <f>Q31&amp;J31</f>
        <v>00</v>
      </c>
      <c r="U31" s="253"/>
      <c r="V31" s="253"/>
      <c r="W31" s="253"/>
      <c r="X31" s="253"/>
      <c r="Y31" s="253"/>
      <c r="Z31" s="253"/>
      <c r="AA31" s="253"/>
      <c r="AD31" s="211">
        <f t="shared" si="0"/>
        <v>0</v>
      </c>
      <c r="AE31" s="212" t="str">
        <f>IFERROR(INDEX(V!$R:$R,MATCH(AF31,V!$L:$L,0)),"")</f>
        <v/>
      </c>
      <c r="AF31" s="213" t="str">
        <f t="shared" si="1"/>
        <v/>
      </c>
      <c r="AG31" s="212" t="str">
        <f>IFERROR(INDEX(V!$R:$R,MATCH(AH31,V!$L:$L,0)),"")</f>
        <v/>
      </c>
      <c r="AH31" s="213" t="str">
        <f t="shared" si="2"/>
        <v/>
      </c>
      <c r="AI31" s="212" t="str">
        <f>IFERROR(INDEX(V!$R:$R,MATCH(AJ31,V!$L:$L,0)),"")</f>
        <v/>
      </c>
      <c r="AJ31" s="213" t="str">
        <f t="shared" si="3"/>
        <v/>
      </c>
      <c r="AK31" s="212" t="str">
        <f>IFERROR(INDEX(V!$R:$R,MATCH(AL31,V!$L:$L,0)),"")</f>
        <v/>
      </c>
      <c r="AL31" s="213" t="str">
        <f t="shared" si="4"/>
        <v/>
      </c>
      <c r="AM31" s="212" t="str">
        <f>IFERROR(INDEX(V!$R:$R,MATCH(AN31,V!$L:$L,0)),"")</f>
        <v/>
      </c>
      <c r="AN31" s="213" t="str">
        <f t="shared" si="5"/>
        <v/>
      </c>
      <c r="AO31" s="212" t="str">
        <f>IFERROR(INDEX(V!$R:$R,MATCH(AP31,V!$L:$L,0)),"")</f>
        <v/>
      </c>
      <c r="AP31" s="213" t="str">
        <f t="shared" si="6"/>
        <v/>
      </c>
    </row>
    <row r="32" spans="1:42" hidden="1" x14ac:dyDescent="0.2">
      <c r="A32" s="188">
        <v>5</v>
      </c>
      <c r="B32" s="268"/>
      <c r="C32" s="190"/>
      <c r="D32" s="190"/>
      <c r="E32" s="190"/>
      <c r="F32" s="190"/>
      <c r="G32" s="191"/>
      <c r="H32" s="189" t="str">
        <f>(IF(C32-G28&gt;0,1)+IF(D32-G29&gt;0,1)+IF(E32-G30&gt;0,1)+IF(F32-G31&gt;0,1))&amp;"-"&amp;(IF(C32-G28&lt;0,1)+IF(D32-G29&lt;0,1)+IF(E32-G30&lt;0,1)+IF(F32-G31&lt;0,1))</f>
        <v>0-0</v>
      </c>
      <c r="I32" s="190" t="str">
        <f t="shared" si="8"/>
        <v xml:space="preserve"> </v>
      </c>
      <c r="J32" s="264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59">
        <f>SUM(AND(T32=T28,C32&gt;G28),AND(T32=T29,D32&gt;G29),AND(T32=T30,E32&gt;G30),AND(T32=T31,F32&gt;G31))</f>
        <v>0</v>
      </c>
      <c r="L32" s="265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59">
        <f>SUM(AND(R32=R28,C32&gt;G28),AND(R32=R29,D32&gt;G29),AND(R32=R30,E32&gt;G30),AND(R32=R31,F32&gt;G31))</f>
        <v>0</v>
      </c>
      <c r="N32" s="305" t="str">
        <f>SUM(C32:G32)&amp;"-"&amp;SUM(G28:G32)</f>
        <v>0-0</v>
      </c>
      <c r="O32" s="306">
        <f>C32+D32+E32+F32-G28-G29-G30-G31</f>
        <v>0</v>
      </c>
      <c r="P32" s="260" t="e">
        <f>SUM(C32:G32,G28:G32)/SUM(G28:G32)</f>
        <v>#DIV/0!</v>
      </c>
      <c r="Q32" s="266">
        <f>VALUE(LEFT(H32,1))</f>
        <v>0</v>
      </c>
      <c r="R32" s="193">
        <f>Q32*100000+J32*10000+K32*1000+100*L32</f>
        <v>0</v>
      </c>
      <c r="S32" s="261">
        <f>R32+M32*0.1+IF(ISNONTEXT(B32),0,0.01)+0.0001*O32</f>
        <v>0</v>
      </c>
      <c r="T32" s="262" t="str">
        <f>Q32&amp;J32</f>
        <v>00</v>
      </c>
      <c r="U32" s="253"/>
      <c r="V32" s="253"/>
      <c r="W32" s="253"/>
      <c r="X32" s="253"/>
      <c r="Y32" s="253"/>
      <c r="Z32" s="253"/>
      <c r="AA32" s="253"/>
      <c r="AD32" s="211">
        <f t="shared" si="0"/>
        <v>0</v>
      </c>
      <c r="AE32" s="212" t="str">
        <f>IFERROR(INDEX(V!$R:$R,MATCH(AF32,V!$L:$L,0)),"")</f>
        <v/>
      </c>
      <c r="AF32" s="213" t="str">
        <f t="shared" si="1"/>
        <v/>
      </c>
      <c r="AG32" s="212" t="str">
        <f>IFERROR(INDEX(V!$R:$R,MATCH(AH32,V!$L:$L,0)),"")</f>
        <v/>
      </c>
      <c r="AH32" s="213" t="str">
        <f t="shared" si="2"/>
        <v/>
      </c>
      <c r="AI32" s="212" t="str">
        <f>IFERROR(INDEX(V!$R:$R,MATCH(AJ32,V!$L:$L,0)),"")</f>
        <v/>
      </c>
      <c r="AJ32" s="213" t="str">
        <f t="shared" si="3"/>
        <v/>
      </c>
      <c r="AK32" s="212" t="str">
        <f>IFERROR(INDEX(V!$R:$R,MATCH(AL32,V!$L:$L,0)),"")</f>
        <v/>
      </c>
      <c r="AL32" s="213" t="str">
        <f t="shared" si="4"/>
        <v/>
      </c>
      <c r="AM32" s="212" t="str">
        <f>IFERROR(INDEX(V!$R:$R,MATCH(AN32,V!$L:$L,0)),"")</f>
        <v/>
      </c>
      <c r="AN32" s="213" t="str">
        <f t="shared" si="5"/>
        <v/>
      </c>
      <c r="AO32" s="212" t="str">
        <f>IFERROR(INDEX(V!$R:$R,MATCH(AP32,V!$L:$L,0)),"")</f>
        <v/>
      </c>
      <c r="AP32" s="213" t="str">
        <f t="shared" si="6"/>
        <v/>
      </c>
    </row>
    <row r="33" spans="1:42" hidden="1" x14ac:dyDescent="0.2">
      <c r="A33" s="269"/>
      <c r="B33" s="294"/>
      <c r="C33" s="274"/>
      <c r="D33" s="274"/>
      <c r="E33" s="274"/>
      <c r="F33" s="271"/>
      <c r="G33" s="274"/>
      <c r="H33" s="295"/>
      <c r="I33" s="229"/>
      <c r="J33" s="253"/>
      <c r="K33" s="253"/>
      <c r="L33" s="253"/>
      <c r="M33" s="253"/>
      <c r="N33" s="307"/>
      <c r="O33" s="307"/>
      <c r="P33" s="253"/>
      <c r="Q33" s="253"/>
      <c r="R33" s="277" t="s">
        <v>206</v>
      </c>
      <c r="S33" s="253"/>
      <c r="T33" s="253"/>
      <c r="U33" s="253"/>
      <c r="V33" s="253"/>
      <c r="W33" s="253"/>
      <c r="X33" s="253"/>
      <c r="Y33" s="253"/>
      <c r="Z33" s="253"/>
      <c r="AA33" s="253"/>
      <c r="AD33" s="211">
        <f t="shared" si="0"/>
        <v>0</v>
      </c>
      <c r="AE33" s="212" t="str">
        <f>IFERROR(INDEX(V!$R:$R,MATCH(AF33,V!$L:$L,0)),"")</f>
        <v/>
      </c>
      <c r="AF33" s="213" t="str">
        <f t="shared" si="1"/>
        <v/>
      </c>
      <c r="AG33" s="212" t="str">
        <f>IFERROR(INDEX(V!$R:$R,MATCH(AH33,V!$L:$L,0)),"")</f>
        <v/>
      </c>
      <c r="AH33" s="213" t="str">
        <f t="shared" si="2"/>
        <v/>
      </c>
      <c r="AI33" s="212" t="str">
        <f>IFERROR(INDEX(V!$R:$R,MATCH(AJ33,V!$L:$L,0)),"")</f>
        <v/>
      </c>
      <c r="AJ33" s="213" t="str">
        <f t="shared" si="3"/>
        <v/>
      </c>
      <c r="AK33" s="212" t="str">
        <f>IFERROR(INDEX(V!$R:$R,MATCH(AL33,V!$L:$L,0)),"")</f>
        <v/>
      </c>
      <c r="AL33" s="213" t="str">
        <f t="shared" si="4"/>
        <v/>
      </c>
      <c r="AM33" s="212" t="str">
        <f>IFERROR(INDEX(V!$R:$R,MATCH(AN33,V!$L:$L,0)),"")</f>
        <v/>
      </c>
      <c r="AN33" s="213" t="str">
        <f t="shared" si="5"/>
        <v/>
      </c>
      <c r="AO33" s="212" t="str">
        <f>IFERROR(INDEX(V!$R:$R,MATCH(AP33,V!$L:$L,0)),"")</f>
        <v/>
      </c>
      <c r="AP33" s="213" t="str">
        <f t="shared" si="6"/>
        <v/>
      </c>
    </row>
    <row r="34" spans="1:42" hidden="1" x14ac:dyDescent="0.2">
      <c r="A34" s="188" t="s">
        <v>4</v>
      </c>
      <c r="B34" s="278"/>
      <c r="C34" s="243">
        <v>1</v>
      </c>
      <c r="D34" s="243">
        <v>2</v>
      </c>
      <c r="E34" s="243">
        <v>3</v>
      </c>
      <c r="F34" s="243"/>
      <c r="G34" s="243"/>
      <c r="H34" s="243" t="s">
        <v>130</v>
      </c>
      <c r="I34" s="161" t="s">
        <v>131</v>
      </c>
      <c r="J34" s="279" t="s">
        <v>199</v>
      </c>
      <c r="K34" s="280" t="s">
        <v>200</v>
      </c>
      <c r="L34" s="281" t="s">
        <v>201</v>
      </c>
      <c r="M34" s="281" t="s">
        <v>202</v>
      </c>
      <c r="N34" s="248" t="s">
        <v>132</v>
      </c>
      <c r="O34" s="248" t="s">
        <v>132</v>
      </c>
      <c r="P34" s="249" t="s">
        <v>203</v>
      </c>
      <c r="Q34" s="282" t="s">
        <v>21</v>
      </c>
      <c r="R34" s="282" t="b">
        <f>OR(AND(COUNTA(B35:B39)=3,COUNTA(C35:G39)=6),AND(COUNTA(B35:B39)=4,COUNTA(C35:G39)=12),AND(COUNTA(B35:B39)=5,COUNTA(C35:G39)=20))</f>
        <v>0</v>
      </c>
      <c r="S34" s="283" t="s">
        <v>204</v>
      </c>
      <c r="T34" s="284" t="s">
        <v>205</v>
      </c>
      <c r="U34" s="253"/>
      <c r="V34" s="253"/>
      <c r="W34" s="253"/>
      <c r="X34" s="253"/>
      <c r="Y34" s="253"/>
      <c r="Z34" s="253"/>
      <c r="AA34" s="253"/>
      <c r="AD34" s="211">
        <f t="shared" si="0"/>
        <v>0</v>
      </c>
      <c r="AE34" s="212" t="str">
        <f>IFERROR(INDEX(V!$R:$R,MATCH(AF34,V!$L:$L,0)),"")</f>
        <v/>
      </c>
      <c r="AF34" s="213" t="str">
        <f t="shared" si="1"/>
        <v/>
      </c>
      <c r="AG34" s="212" t="str">
        <f>IFERROR(INDEX(V!$R:$R,MATCH(AH34,V!$L:$L,0)),"")</f>
        <v/>
      </c>
      <c r="AH34" s="213" t="str">
        <f t="shared" si="2"/>
        <v/>
      </c>
      <c r="AI34" s="212" t="str">
        <f>IFERROR(INDEX(V!$R:$R,MATCH(AJ34,V!$L:$L,0)),"")</f>
        <v/>
      </c>
      <c r="AJ34" s="213" t="str">
        <f t="shared" si="3"/>
        <v/>
      </c>
      <c r="AK34" s="212" t="str">
        <f>IFERROR(INDEX(V!$R:$R,MATCH(AL34,V!$L:$L,0)),"")</f>
        <v/>
      </c>
      <c r="AL34" s="213" t="str">
        <f t="shared" si="4"/>
        <v/>
      </c>
      <c r="AM34" s="212" t="str">
        <f>IFERROR(INDEX(V!$R:$R,MATCH(AN34,V!$L:$L,0)),"")</f>
        <v/>
      </c>
      <c r="AN34" s="213" t="str">
        <f t="shared" si="5"/>
        <v/>
      </c>
      <c r="AO34" s="212" t="str">
        <f>IFERROR(INDEX(V!$R:$R,MATCH(AP34,V!$L:$L,0)),"")</f>
        <v/>
      </c>
      <c r="AP34" s="213" t="str">
        <f t="shared" si="6"/>
        <v/>
      </c>
    </row>
    <row r="35" spans="1:42" hidden="1" x14ac:dyDescent="0.2">
      <c r="A35" s="188">
        <v>1</v>
      </c>
      <c r="B35" s="293"/>
      <c r="C35" s="191"/>
      <c r="D35" s="190"/>
      <c r="E35" s="190"/>
      <c r="F35" s="190"/>
      <c r="G35" s="190"/>
      <c r="H35" s="189" t="str">
        <f>(IF(D35-C36&gt;0,1)+IF(E35-C37&gt;0,1)+IF(F35-C38&gt;0,1)+IF(G35-C39&gt;0,1))&amp;"-"&amp;(IF(D35-C36&lt;0,1)+IF(E35-C37&lt;0,1)+IF(F35-C38&lt;0,1)+IF(G35-C39&lt;0,1))</f>
        <v>0-0</v>
      </c>
      <c r="I35" s="163" t="str">
        <f>IF(AND(B35&lt;&gt;"",R$34=TRUE),A$34&amp;RANK(S35,S$35:S$39,0)," ")</f>
        <v xml:space="preserve"> </v>
      </c>
      <c r="J35" s="256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57">
        <f>SUM(AND(T35=T36,D35&gt;C36),AND(T35=T37,E35&gt;C37),AND(T35=T38,F35&gt;C38),AND(T35=T39,G35&gt;C39))</f>
        <v>0</v>
      </c>
      <c r="L35" s="258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59">
        <f>SUM(AND(R35=R36,D35&gt;C36),AND(R35=R37,E35&gt;C37),AND(R35=R38,F35&gt;C38),AND(R35=R39,G35&gt;C39))</f>
        <v>0</v>
      </c>
      <c r="N35" s="305" t="str">
        <f>SUM(C35:G35)&amp;"-"&amp;SUM(C35:C39)</f>
        <v>0-0</v>
      </c>
      <c r="O35" s="306">
        <f>D35+E35+F35+G35-C36-C37-C38-C39</f>
        <v>0</v>
      </c>
      <c r="P35" s="260" t="e">
        <f>SUM(C35:G35,C35:C39)/SUM(C35:C39)</f>
        <v>#DIV/0!</v>
      </c>
      <c r="Q35" s="192">
        <f>VALUE(LEFT(H35,1))</f>
        <v>0</v>
      </c>
      <c r="R35" s="193">
        <f>Q35*100000+J35*10000+K35*1000+100*L35</f>
        <v>0</v>
      </c>
      <c r="S35" s="261">
        <f>R35+M35*0.1+IF(ISNONTEXT(B35),0,0.01)+0.0001*O35</f>
        <v>0</v>
      </c>
      <c r="T35" s="262" t="str">
        <f>Q35&amp;J35</f>
        <v>00</v>
      </c>
      <c r="U35" s="253"/>
      <c r="V35" s="253"/>
      <c r="W35" s="253"/>
      <c r="X35" s="253"/>
      <c r="Y35" s="253"/>
      <c r="Z35" s="253"/>
      <c r="AA35" s="253"/>
      <c r="AD35" s="211">
        <f t="shared" si="0"/>
        <v>0</v>
      </c>
      <c r="AE35" s="212" t="str">
        <f>IFERROR(INDEX(V!$R:$R,MATCH(AF35,V!$L:$L,0)),"")</f>
        <v/>
      </c>
      <c r="AF35" s="213" t="str">
        <f t="shared" si="1"/>
        <v/>
      </c>
      <c r="AG35" s="212" t="str">
        <f>IFERROR(INDEX(V!$R:$R,MATCH(AH35,V!$L:$L,0)),"")</f>
        <v/>
      </c>
      <c r="AH35" s="213" t="str">
        <f t="shared" si="2"/>
        <v/>
      </c>
      <c r="AI35" s="212" t="str">
        <f>IFERROR(INDEX(V!$R:$R,MATCH(AJ35,V!$L:$L,0)),"")</f>
        <v/>
      </c>
      <c r="AJ35" s="213" t="str">
        <f t="shared" si="3"/>
        <v/>
      </c>
      <c r="AK35" s="212" t="str">
        <f>IFERROR(INDEX(V!$R:$R,MATCH(AL35,V!$L:$L,0)),"")</f>
        <v/>
      </c>
      <c r="AL35" s="213" t="str">
        <f t="shared" si="4"/>
        <v/>
      </c>
      <c r="AM35" s="212" t="str">
        <f>IFERROR(INDEX(V!$R:$R,MATCH(AN35,V!$L:$L,0)),"")</f>
        <v/>
      </c>
      <c r="AN35" s="213" t="str">
        <f t="shared" si="5"/>
        <v/>
      </c>
      <c r="AO35" s="212" t="str">
        <f>IFERROR(INDEX(V!$R:$R,MATCH(AP35,V!$L:$L,0)),"")</f>
        <v/>
      </c>
      <c r="AP35" s="213" t="str">
        <f t="shared" si="6"/>
        <v/>
      </c>
    </row>
    <row r="36" spans="1:42" hidden="1" x14ac:dyDescent="0.2">
      <c r="A36" s="188">
        <v>2</v>
      </c>
      <c r="B36" s="263"/>
      <c r="C36" s="190"/>
      <c r="D36" s="191"/>
      <c r="E36" s="190"/>
      <c r="F36" s="190"/>
      <c r="G36" s="190"/>
      <c r="H36" s="189" t="str">
        <f>(IF(C36-D35&gt;0,1)+IF(E36-D37&gt;0,1)+IF(F36-D38&gt;0,1)+IF(G36-D39&gt;0,1))&amp;"-"&amp;(IF(C36-D35&lt;0,1)+IF(E36-D37&lt;0,1)+IF(F36-D38&lt;0,1)+IF(G36-D39&lt;0,1))</f>
        <v>0-0</v>
      </c>
      <c r="I36" s="163" t="str">
        <f t="shared" ref="I36:I39" si="9">IF(AND(B36&lt;&gt;"",R$34=TRUE),A$34&amp;RANK(S36,S$35:S$39,0)," ")</f>
        <v xml:space="preserve"> </v>
      </c>
      <c r="J36" s="264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59">
        <f>SUM(AND(T36=T35,C36&gt;D35),AND(T36=T37,E36&gt;D37),AND(T36=T38,F36&gt;D38),AND(T36=T39,G36&gt;D39))</f>
        <v>0</v>
      </c>
      <c r="L36" s="265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59">
        <f>SUM(AND(R36=R35,C36&gt;D35),AND(R36=R37,E36&gt;D37),AND(R36=R38,F36&gt;D38),AND(R36=R39,G36&gt;D39))</f>
        <v>0</v>
      </c>
      <c r="N36" s="305" t="str">
        <f>SUM(C36:G36)&amp;"-"&amp;SUM(D35:D39)</f>
        <v>0-0</v>
      </c>
      <c r="O36" s="306">
        <f>C36+E36+F36+G36-D35-D37-D38-D39</f>
        <v>0</v>
      </c>
      <c r="P36" s="260" t="e">
        <f>SUM(C36:G36,D35:D39)/SUM(D35:D39)</f>
        <v>#DIV/0!</v>
      </c>
      <c r="Q36" s="266">
        <f>VALUE(LEFT(H36,1))</f>
        <v>0</v>
      </c>
      <c r="R36" s="193">
        <f>Q36*100000+J36*10000+K36*1000+100*L36</f>
        <v>0</v>
      </c>
      <c r="S36" s="261">
        <f>R36+M36*0.1+IF(ISNONTEXT(B36),0,0.01)+0.0001*O36</f>
        <v>0</v>
      </c>
      <c r="T36" s="262" t="str">
        <f>Q36&amp;J36</f>
        <v>00</v>
      </c>
      <c r="U36" s="253"/>
      <c r="V36" s="253"/>
      <c r="W36" s="253"/>
      <c r="X36" s="253"/>
      <c r="Y36" s="253"/>
      <c r="Z36" s="253"/>
      <c r="AA36" s="253"/>
      <c r="AD36" s="211">
        <f t="shared" si="0"/>
        <v>0</v>
      </c>
      <c r="AE36" s="212" t="str">
        <f>IFERROR(INDEX(V!$R:$R,MATCH(AF36,V!$L:$L,0)),"")</f>
        <v/>
      </c>
      <c r="AF36" s="213" t="str">
        <f t="shared" si="1"/>
        <v/>
      </c>
      <c r="AG36" s="212" t="str">
        <f>IFERROR(INDEX(V!$R:$R,MATCH(AH36,V!$L:$L,0)),"")</f>
        <v/>
      </c>
      <c r="AH36" s="213" t="str">
        <f t="shared" si="2"/>
        <v/>
      </c>
      <c r="AI36" s="212" t="str">
        <f>IFERROR(INDEX(V!$R:$R,MATCH(AJ36,V!$L:$L,0)),"")</f>
        <v/>
      </c>
      <c r="AJ36" s="213" t="str">
        <f t="shared" si="3"/>
        <v/>
      </c>
      <c r="AK36" s="212" t="str">
        <f>IFERROR(INDEX(V!$R:$R,MATCH(AL36,V!$L:$L,0)),"")</f>
        <v/>
      </c>
      <c r="AL36" s="213" t="str">
        <f t="shared" si="4"/>
        <v/>
      </c>
      <c r="AM36" s="212" t="str">
        <f>IFERROR(INDEX(V!$R:$R,MATCH(AN36,V!$L:$L,0)),"")</f>
        <v/>
      </c>
      <c r="AN36" s="213" t="str">
        <f t="shared" si="5"/>
        <v/>
      </c>
      <c r="AO36" s="212" t="str">
        <f>IFERROR(INDEX(V!$R:$R,MATCH(AP36,V!$L:$L,0)),"")</f>
        <v/>
      </c>
      <c r="AP36" s="213" t="str">
        <f t="shared" si="6"/>
        <v/>
      </c>
    </row>
    <row r="37" spans="1:42" hidden="1" x14ac:dyDescent="0.2">
      <c r="A37" s="188">
        <v>3</v>
      </c>
      <c r="B37" s="263"/>
      <c r="C37" s="190"/>
      <c r="D37" s="267"/>
      <c r="E37" s="191"/>
      <c r="F37" s="190"/>
      <c r="G37" s="190"/>
      <c r="H37" s="189" t="str">
        <f>(IF(C37-E35&gt;0,1)+IF(D37-E36&gt;0,1)+IF(F37-E38&gt;0,1)+IF(G37-E39&gt;0,1))&amp;"-"&amp;(IF(C37-E35&lt;0,1)+IF(D37-E36&lt;0,1)+IF(F37-E38&lt;0,1)+IF(G37-E39&lt;0,1))</f>
        <v>0-0</v>
      </c>
      <c r="I37" s="163" t="str">
        <f t="shared" si="9"/>
        <v xml:space="preserve"> </v>
      </c>
      <c r="J37" s="264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59">
        <f>SUM(AND(T37=T35,C37&gt;E35),AND(T37=T36,D37&gt;E36),AND(T37=T38,F37&gt;E38),AND(T37=T39,G37&gt;E39))</f>
        <v>0</v>
      </c>
      <c r="L37" s="265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59">
        <f>SUM(AND(R37=R35,C37&gt;E35),AND(R37=R36,D37&gt;E36),AND(R37=R38,F37&gt;E38),AND(R37=R39,G37&gt;E39))</f>
        <v>0</v>
      </c>
      <c r="N37" s="305" t="str">
        <f>SUM(C37:G37)&amp;"-"&amp;SUM(E35:E39)</f>
        <v>0-0</v>
      </c>
      <c r="O37" s="306">
        <f>C37+D37+F37+G37-E35-E36-E38-E39</f>
        <v>0</v>
      </c>
      <c r="P37" s="260" t="e">
        <f>SUM(C37:G37,E35:E39)/SUM(E35:E39)</f>
        <v>#DIV/0!</v>
      </c>
      <c r="Q37" s="266">
        <f>VALUE(LEFT(H37,1))</f>
        <v>0</v>
      </c>
      <c r="R37" s="193">
        <f>Q37*100000+J37*10000+K37*1000+100*L37</f>
        <v>0</v>
      </c>
      <c r="S37" s="261">
        <f>R37+M37*0.1+IF(ISNONTEXT(B37),0,0.01)+0.0001*O37</f>
        <v>0</v>
      </c>
      <c r="T37" s="262" t="str">
        <f>Q37&amp;J37</f>
        <v>00</v>
      </c>
      <c r="U37" s="253"/>
      <c r="V37" s="253"/>
      <c r="W37" s="253"/>
      <c r="X37" s="253"/>
      <c r="Y37" s="253"/>
      <c r="Z37" s="253"/>
      <c r="AA37" s="253"/>
      <c r="AD37" s="211">
        <f t="shared" si="0"/>
        <v>0</v>
      </c>
      <c r="AE37" s="212" t="str">
        <f>IFERROR(INDEX(V!$R:$R,MATCH(AF37,V!$L:$L,0)),"")</f>
        <v/>
      </c>
      <c r="AF37" s="213" t="str">
        <f t="shared" si="1"/>
        <v/>
      </c>
      <c r="AG37" s="212" t="str">
        <f>IFERROR(INDEX(V!$R:$R,MATCH(AH37,V!$L:$L,0)),"")</f>
        <v/>
      </c>
      <c r="AH37" s="213" t="str">
        <f t="shared" si="2"/>
        <v/>
      </c>
      <c r="AI37" s="212" t="str">
        <f>IFERROR(INDEX(V!$R:$R,MATCH(AJ37,V!$L:$L,0)),"")</f>
        <v/>
      </c>
      <c r="AJ37" s="213" t="str">
        <f t="shared" si="3"/>
        <v/>
      </c>
      <c r="AK37" s="212" t="str">
        <f>IFERROR(INDEX(V!$R:$R,MATCH(AL37,V!$L:$L,0)),"")</f>
        <v/>
      </c>
      <c r="AL37" s="213" t="str">
        <f t="shared" si="4"/>
        <v/>
      </c>
      <c r="AM37" s="212" t="str">
        <f>IFERROR(INDEX(V!$R:$R,MATCH(AN37,V!$L:$L,0)),"")</f>
        <v/>
      </c>
      <c r="AN37" s="213" t="str">
        <f t="shared" si="5"/>
        <v/>
      </c>
      <c r="AO37" s="212" t="str">
        <f>IFERROR(INDEX(V!$R:$R,MATCH(AP37,V!$L:$L,0)),"")</f>
        <v/>
      </c>
      <c r="AP37" s="213" t="str">
        <f t="shared" si="6"/>
        <v/>
      </c>
    </row>
    <row r="38" spans="1:42" hidden="1" x14ac:dyDescent="0.2">
      <c r="A38" s="188">
        <v>4</v>
      </c>
      <c r="B38" s="268"/>
      <c r="C38" s="190"/>
      <c r="D38" s="267"/>
      <c r="E38" s="190"/>
      <c r="F38" s="191"/>
      <c r="G38" s="286"/>
      <c r="H38" s="189" t="str">
        <f>(IF(C38-F35&gt;0,1)+IF(D38-F36&gt;0,1)+IF(E38-F37&gt;0,1)+IF(G38-F39&gt;0,1))&amp;"-"&amp;(IF(C38-F35&lt;0,1)+IF(D38-F36&lt;0,1)+IF(E38-F37&lt;0,1)+IF(G38-F39&lt;0,1))</f>
        <v>0-0</v>
      </c>
      <c r="I38" s="163" t="str">
        <f t="shared" si="9"/>
        <v xml:space="preserve"> </v>
      </c>
      <c r="J38" s="264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59">
        <f>SUM(AND(T38=T35,C38&gt;F35),AND(T38=T36,D38&gt;F36),AND(T38=T37,E38&gt;F37),AND(T38=T39,G38&gt;F39))</f>
        <v>0</v>
      </c>
      <c r="L38" s="265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59">
        <f>SUM(AND(R38=R35,C38&gt;F35),AND(R38=R36,D38&gt;F36),AND(R38=R37,E38&gt;F37),AND(R38=R39,G38&gt;F39))</f>
        <v>0</v>
      </c>
      <c r="N38" s="305" t="str">
        <f>SUM(C38:G38)&amp;"-"&amp;SUM(F35:F39)</f>
        <v>0-0</v>
      </c>
      <c r="O38" s="306">
        <f>C38+D38+E38+G38-F35-F36-F37-F39</f>
        <v>0</v>
      </c>
      <c r="P38" s="260" t="e">
        <f>SUM(C38:G38,F35:F39)/SUM(F35:F39)</f>
        <v>#DIV/0!</v>
      </c>
      <c r="Q38" s="266">
        <f>VALUE(LEFT(H38,1))</f>
        <v>0</v>
      </c>
      <c r="R38" s="193">
        <f>Q38*100000+J38*10000+K38*1000+100*L38</f>
        <v>0</v>
      </c>
      <c r="S38" s="261">
        <f>R38+M38*0.1+IF(ISNONTEXT(B38),0,0.01)+0.0001*O38</f>
        <v>0</v>
      </c>
      <c r="T38" s="262" t="str">
        <f>Q38&amp;J38</f>
        <v>00</v>
      </c>
      <c r="U38" s="253"/>
      <c r="V38" s="253"/>
      <c r="W38" s="253"/>
      <c r="X38" s="253"/>
      <c r="Y38" s="253"/>
      <c r="Z38" s="253"/>
      <c r="AA38" s="253"/>
      <c r="AD38" s="211">
        <f t="shared" si="0"/>
        <v>0</v>
      </c>
      <c r="AE38" s="212" t="str">
        <f>IFERROR(INDEX(V!$R:$R,MATCH(AF38,V!$L:$L,0)),"")</f>
        <v/>
      </c>
      <c r="AF38" s="213" t="str">
        <f t="shared" si="1"/>
        <v/>
      </c>
      <c r="AG38" s="212" t="str">
        <f>IFERROR(INDEX(V!$R:$R,MATCH(AH38,V!$L:$L,0)),"")</f>
        <v/>
      </c>
      <c r="AH38" s="213" t="str">
        <f t="shared" si="2"/>
        <v/>
      </c>
      <c r="AI38" s="212" t="str">
        <f>IFERROR(INDEX(V!$R:$R,MATCH(AJ38,V!$L:$L,0)),"")</f>
        <v/>
      </c>
      <c r="AJ38" s="213" t="str">
        <f t="shared" si="3"/>
        <v/>
      </c>
      <c r="AK38" s="212" t="str">
        <f>IFERROR(INDEX(V!$R:$R,MATCH(AL38,V!$L:$L,0)),"")</f>
        <v/>
      </c>
      <c r="AL38" s="213" t="str">
        <f t="shared" si="4"/>
        <v/>
      </c>
      <c r="AM38" s="212" t="str">
        <f>IFERROR(INDEX(V!$R:$R,MATCH(AN38,V!$L:$L,0)),"")</f>
        <v/>
      </c>
      <c r="AN38" s="213" t="str">
        <f t="shared" si="5"/>
        <v/>
      </c>
      <c r="AO38" s="212" t="str">
        <f>IFERROR(INDEX(V!$R:$R,MATCH(AP38,V!$L:$L,0)),"")</f>
        <v/>
      </c>
      <c r="AP38" s="213" t="str">
        <f t="shared" si="6"/>
        <v/>
      </c>
    </row>
    <row r="39" spans="1:42" hidden="1" x14ac:dyDescent="0.2">
      <c r="A39" s="188">
        <v>5</v>
      </c>
      <c r="B39" s="268"/>
      <c r="C39" s="190"/>
      <c r="D39" s="190"/>
      <c r="E39" s="190"/>
      <c r="F39" s="190"/>
      <c r="G39" s="191"/>
      <c r="H39" s="189" t="str">
        <f>(IF(C39-G35&gt;0,1)+IF(D39-G36&gt;0,1)+IF(E39-G37&gt;0,1)+IF(F39-G38&gt;0,1))&amp;"-"&amp;(IF(C39-G35&lt;0,1)+IF(D39-G36&lt;0,1)+IF(E39-G37&lt;0,1)+IF(F39-G38&lt;0,1))</f>
        <v>0-0</v>
      </c>
      <c r="I39" s="163" t="str">
        <f t="shared" si="9"/>
        <v xml:space="preserve"> </v>
      </c>
      <c r="J39" s="264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59">
        <f>SUM(AND(T39=T35,C39&gt;G35),AND(T39=T36,D39&gt;G36),AND(T39=T37,E39&gt;G37),AND(T39=T38,F39&gt;G38))</f>
        <v>0</v>
      </c>
      <c r="L39" s="265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59">
        <f>SUM(AND(R39=R35,C39&gt;G35),AND(R39=R36,D39&gt;G36),AND(R39=R37,E39&gt;G37),AND(R39=R38,F39&gt;G38))</f>
        <v>0</v>
      </c>
      <c r="N39" s="305" t="str">
        <f>SUM(C39:G39)&amp;"-"&amp;SUM(G35:G39)</f>
        <v>0-0</v>
      </c>
      <c r="O39" s="306">
        <f>C39+D39+E39+F39-G35-G36-G37-G38</f>
        <v>0</v>
      </c>
      <c r="P39" s="260" t="e">
        <f>SUM(C39:G39,G35:G39)/SUM(G35:G39)</f>
        <v>#DIV/0!</v>
      </c>
      <c r="Q39" s="266">
        <f>VALUE(LEFT(H39,1))</f>
        <v>0</v>
      </c>
      <c r="R39" s="193">
        <f>Q39*100000+J39*10000+K39*1000+100*L39</f>
        <v>0</v>
      </c>
      <c r="S39" s="261">
        <f>R39+M39*0.1+IF(ISNONTEXT(B39),0,0.01)+0.0001*O39</f>
        <v>0</v>
      </c>
      <c r="T39" s="262" t="str">
        <f>Q39&amp;J39</f>
        <v>00</v>
      </c>
      <c r="U39" s="253"/>
      <c r="V39" s="253"/>
      <c r="W39" s="253"/>
      <c r="X39" s="253"/>
      <c r="Y39" s="253"/>
      <c r="Z39" s="253"/>
      <c r="AA39" s="253"/>
      <c r="AD39" s="211">
        <f t="shared" si="0"/>
        <v>0</v>
      </c>
      <c r="AE39" s="212" t="str">
        <f>IFERROR(INDEX(V!$R:$R,MATCH(AF39,V!$L:$L,0)),"")</f>
        <v/>
      </c>
      <c r="AF39" s="213" t="str">
        <f t="shared" si="1"/>
        <v/>
      </c>
      <c r="AG39" s="212" t="str">
        <f>IFERROR(INDEX(V!$R:$R,MATCH(AH39,V!$L:$L,0)),"")</f>
        <v/>
      </c>
      <c r="AH39" s="213" t="str">
        <f t="shared" si="2"/>
        <v/>
      </c>
      <c r="AI39" s="212" t="str">
        <f>IFERROR(INDEX(V!$R:$R,MATCH(AJ39,V!$L:$L,0)),"")</f>
        <v/>
      </c>
      <c r="AJ39" s="213" t="str">
        <f t="shared" si="3"/>
        <v/>
      </c>
      <c r="AK39" s="212" t="str">
        <f>IFERROR(INDEX(V!$R:$R,MATCH(AL39,V!$L:$L,0)),"")</f>
        <v/>
      </c>
      <c r="AL39" s="213" t="str">
        <f t="shared" si="4"/>
        <v/>
      </c>
      <c r="AM39" s="212" t="str">
        <f>IFERROR(INDEX(V!$R:$R,MATCH(AN39,V!$L:$L,0)),"")</f>
        <v/>
      </c>
      <c r="AN39" s="213" t="str">
        <f t="shared" si="5"/>
        <v/>
      </c>
      <c r="AO39" s="212" t="str">
        <f>IFERROR(INDEX(V!$R:$R,MATCH(AP39,V!$L:$L,0)),"")</f>
        <v/>
      </c>
      <c r="AP39" s="213" t="str">
        <f t="shared" si="6"/>
        <v/>
      </c>
    </row>
    <row r="40" spans="1:42" hidden="1" x14ac:dyDescent="0.2">
      <c r="A40" s="269"/>
      <c r="B40" s="270"/>
      <c r="C40" s="271"/>
      <c r="D40" s="272"/>
      <c r="E40" s="271"/>
      <c r="F40" s="273"/>
      <c r="G40" s="274"/>
      <c r="H40" s="275"/>
      <c r="I40" s="174"/>
      <c r="J40" s="253"/>
      <c r="K40" s="253"/>
      <c r="L40" s="253"/>
      <c r="M40" s="253"/>
      <c r="N40" s="307"/>
      <c r="O40" s="307"/>
      <c r="P40" s="253"/>
      <c r="Q40" s="253"/>
      <c r="R40" s="277" t="s">
        <v>206</v>
      </c>
      <c r="S40" s="253"/>
      <c r="T40" s="253"/>
      <c r="U40" s="253"/>
      <c r="V40" s="253"/>
      <c r="W40" s="253"/>
      <c r="X40" s="253"/>
      <c r="Y40" s="253"/>
      <c r="Z40" s="253"/>
      <c r="AA40" s="253"/>
      <c r="AD40" s="211">
        <f t="shared" si="0"/>
        <v>0</v>
      </c>
      <c r="AE40" s="212" t="str">
        <f>IFERROR(INDEX(V!$R:$R,MATCH(AF40,V!$L:$L,0)),"")</f>
        <v/>
      </c>
      <c r="AF40" s="213" t="str">
        <f t="shared" si="1"/>
        <v/>
      </c>
      <c r="AG40" s="212" t="str">
        <f>IFERROR(INDEX(V!$R:$R,MATCH(AH40,V!$L:$L,0)),"")</f>
        <v/>
      </c>
      <c r="AH40" s="213" t="str">
        <f t="shared" si="2"/>
        <v/>
      </c>
      <c r="AI40" s="212" t="str">
        <f>IFERROR(INDEX(V!$R:$R,MATCH(AJ40,V!$L:$L,0)),"")</f>
        <v/>
      </c>
      <c r="AJ40" s="213" t="str">
        <f t="shared" si="3"/>
        <v/>
      </c>
      <c r="AK40" s="212" t="str">
        <f>IFERROR(INDEX(V!$R:$R,MATCH(AL40,V!$L:$L,0)),"")</f>
        <v/>
      </c>
      <c r="AL40" s="213" t="str">
        <f t="shared" si="4"/>
        <v/>
      </c>
      <c r="AM40" s="212" t="str">
        <f>IFERROR(INDEX(V!$R:$R,MATCH(AN40,V!$L:$L,0)),"")</f>
        <v/>
      </c>
      <c r="AN40" s="213" t="str">
        <f t="shared" si="5"/>
        <v/>
      </c>
      <c r="AO40" s="212" t="str">
        <f>IFERROR(INDEX(V!$R:$R,MATCH(AP40,V!$L:$L,0)),"")</f>
        <v/>
      </c>
      <c r="AP40" s="213" t="str">
        <f t="shared" si="6"/>
        <v/>
      </c>
    </row>
    <row r="41" spans="1:42" hidden="1" x14ac:dyDescent="0.2">
      <c r="A41" s="188" t="s">
        <v>5</v>
      </c>
      <c r="B41" s="278"/>
      <c r="C41" s="243">
        <v>1</v>
      </c>
      <c r="D41" s="243">
        <v>2</v>
      </c>
      <c r="E41" s="243">
        <v>3</v>
      </c>
      <c r="F41" s="243"/>
      <c r="G41" s="243"/>
      <c r="H41" s="244" t="s">
        <v>130</v>
      </c>
      <c r="I41" s="161" t="s">
        <v>131</v>
      </c>
      <c r="J41" s="279" t="s">
        <v>199</v>
      </c>
      <c r="K41" s="280" t="s">
        <v>200</v>
      </c>
      <c r="L41" s="281" t="s">
        <v>201</v>
      </c>
      <c r="M41" s="281" t="s">
        <v>202</v>
      </c>
      <c r="N41" s="248" t="s">
        <v>132</v>
      </c>
      <c r="O41" s="248" t="s">
        <v>132</v>
      </c>
      <c r="P41" s="249" t="s">
        <v>203</v>
      </c>
      <c r="Q41" s="282" t="s">
        <v>21</v>
      </c>
      <c r="R41" s="282" t="b">
        <f>OR(AND(COUNTA(B42:B46)=3,COUNTA(C42:G46)=6),AND(COUNTA(B42:B46)=4,COUNTA(C42:G46)=12),AND(COUNTA(B42:B46)=5,COUNTA(C42:G46)=20))</f>
        <v>0</v>
      </c>
      <c r="S41" s="283" t="s">
        <v>204</v>
      </c>
      <c r="T41" s="284" t="s">
        <v>205</v>
      </c>
      <c r="U41" s="253"/>
      <c r="V41" s="253"/>
      <c r="W41" s="253"/>
      <c r="X41" s="253"/>
      <c r="Y41" s="253"/>
      <c r="Z41" s="253"/>
      <c r="AA41" s="253"/>
      <c r="AD41" s="211">
        <f t="shared" si="0"/>
        <v>0</v>
      </c>
      <c r="AE41" s="212" t="str">
        <f>IFERROR(INDEX(V!$R:$R,MATCH(AF41,V!$L:$L,0)),"")</f>
        <v/>
      </c>
      <c r="AF41" s="213" t="str">
        <f t="shared" si="1"/>
        <v/>
      </c>
      <c r="AG41" s="212" t="str">
        <f>IFERROR(INDEX(V!$R:$R,MATCH(AH41,V!$L:$L,0)),"")</f>
        <v/>
      </c>
      <c r="AH41" s="213" t="str">
        <f t="shared" si="2"/>
        <v/>
      </c>
      <c r="AI41" s="212" t="str">
        <f>IFERROR(INDEX(V!$R:$R,MATCH(AJ41,V!$L:$L,0)),"")</f>
        <v/>
      </c>
      <c r="AJ41" s="213" t="str">
        <f t="shared" si="3"/>
        <v/>
      </c>
      <c r="AK41" s="212" t="str">
        <f>IFERROR(INDEX(V!$R:$R,MATCH(AL41,V!$L:$L,0)),"")</f>
        <v/>
      </c>
      <c r="AL41" s="213" t="str">
        <f t="shared" si="4"/>
        <v/>
      </c>
      <c r="AM41" s="212" t="str">
        <f>IFERROR(INDEX(V!$R:$R,MATCH(AN41,V!$L:$L,0)),"")</f>
        <v/>
      </c>
      <c r="AN41" s="213" t="str">
        <f t="shared" si="5"/>
        <v/>
      </c>
      <c r="AO41" s="212" t="str">
        <f>IFERROR(INDEX(V!$R:$R,MATCH(AP41,V!$L:$L,0)),"")</f>
        <v/>
      </c>
      <c r="AP41" s="213" t="str">
        <f t="shared" si="6"/>
        <v/>
      </c>
    </row>
    <row r="42" spans="1:42" hidden="1" x14ac:dyDescent="0.2">
      <c r="A42" s="188">
        <v>1</v>
      </c>
      <c r="B42" s="293"/>
      <c r="C42" s="191"/>
      <c r="D42" s="190"/>
      <c r="E42" s="190"/>
      <c r="F42" s="190"/>
      <c r="G42" s="190"/>
      <c r="H42" s="189" t="str">
        <f>(IF(D42-C43&gt;0,1)+IF(E42-C44&gt;0,1)+IF(F42-C45&gt;0,1)+IF(G42-C46&gt;0,1))&amp;"-"&amp;(IF(D42-C43&lt;0,1)+IF(E42-C44&lt;0,1)+IF(F42-C45&lt;0,1)+IF(G42-C46&lt;0,1))</f>
        <v>0-0</v>
      </c>
      <c r="I42" s="163" t="str">
        <f>IF(AND(B42&lt;&gt;"",R$41=TRUE),A$41&amp;RANK(S42,S$42:S$46,0)," ")</f>
        <v xml:space="preserve"> </v>
      </c>
      <c r="J42" s="256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57">
        <f>SUM(AND(T42=T43,D42&gt;C43),AND(T42=T44,E42&gt;C44),AND(T42=T45,F42&gt;C45),AND(T42=T46,G42&gt;C46))</f>
        <v>0</v>
      </c>
      <c r="L42" s="258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59">
        <f>SUM(AND(R42=R43,D42&gt;C43),AND(R42=R44,E42&gt;C44),AND(R42=R45,F42&gt;C45),AND(R42=R46,G42&gt;C46))</f>
        <v>0</v>
      </c>
      <c r="N42" s="305" t="str">
        <f>SUM(C42:G42)&amp;"-"&amp;SUM(C42:C46)</f>
        <v>0-0</v>
      </c>
      <c r="O42" s="306">
        <f>D42+E42+F42+G42-C43-C44-C45-C46</f>
        <v>0</v>
      </c>
      <c r="P42" s="260" t="e">
        <f>SUM(C42:G42,C42:C46)/SUM(C42:C46)</f>
        <v>#DIV/0!</v>
      </c>
      <c r="Q42" s="192">
        <f>VALUE(LEFT(H42,1))</f>
        <v>0</v>
      </c>
      <c r="R42" s="193">
        <f>Q42*100000+J42*10000+K42*1000+100*L42</f>
        <v>0</v>
      </c>
      <c r="S42" s="261">
        <f>R42+M42*0.1+IF(ISNONTEXT(B42),0,0.01)+0.0001*O42</f>
        <v>0</v>
      </c>
      <c r="T42" s="262" t="str">
        <f>Q42&amp;J42</f>
        <v>00</v>
      </c>
      <c r="U42" s="253"/>
      <c r="V42" s="253"/>
      <c r="W42" s="253"/>
      <c r="X42" s="253"/>
      <c r="Y42" s="253"/>
      <c r="Z42" s="253"/>
      <c r="AA42" s="253"/>
      <c r="AD42" s="211">
        <f t="shared" si="0"/>
        <v>0</v>
      </c>
      <c r="AE42" s="212" t="str">
        <f>IFERROR(INDEX(V!$R:$R,MATCH(AF42,V!$L:$L,0)),"")</f>
        <v/>
      </c>
      <c r="AF42" s="213" t="str">
        <f t="shared" si="1"/>
        <v/>
      </c>
      <c r="AG42" s="212" t="str">
        <f>IFERROR(INDEX(V!$R:$R,MATCH(AH42,V!$L:$L,0)),"")</f>
        <v/>
      </c>
      <c r="AH42" s="213" t="str">
        <f t="shared" si="2"/>
        <v/>
      </c>
      <c r="AI42" s="212" t="str">
        <f>IFERROR(INDEX(V!$R:$R,MATCH(AJ42,V!$L:$L,0)),"")</f>
        <v/>
      </c>
      <c r="AJ42" s="213" t="str">
        <f t="shared" si="3"/>
        <v/>
      </c>
      <c r="AK42" s="212" t="str">
        <f>IFERROR(INDEX(V!$R:$R,MATCH(AL42,V!$L:$L,0)),"")</f>
        <v/>
      </c>
      <c r="AL42" s="213" t="str">
        <f t="shared" si="4"/>
        <v/>
      </c>
      <c r="AM42" s="212" t="str">
        <f>IFERROR(INDEX(V!$R:$R,MATCH(AN42,V!$L:$L,0)),"")</f>
        <v/>
      </c>
      <c r="AN42" s="213" t="str">
        <f t="shared" si="5"/>
        <v/>
      </c>
      <c r="AO42" s="212" t="str">
        <f>IFERROR(INDEX(V!$R:$R,MATCH(AP42,V!$L:$L,0)),"")</f>
        <v/>
      </c>
      <c r="AP42" s="213" t="str">
        <f t="shared" si="6"/>
        <v/>
      </c>
    </row>
    <row r="43" spans="1:42" hidden="1" x14ac:dyDescent="0.2">
      <c r="A43" s="188">
        <v>2</v>
      </c>
      <c r="B43" s="263"/>
      <c r="C43" s="190"/>
      <c r="D43" s="191"/>
      <c r="E43" s="190"/>
      <c r="F43" s="190"/>
      <c r="G43" s="190"/>
      <c r="H43" s="189" t="str">
        <f>(IF(C43-D42&gt;0,1)+IF(E43-D44&gt;0,1)+IF(F43-D45&gt;0,1)+IF(G43-D46&gt;0,1))&amp;"-"&amp;(IF(C43-D42&lt;0,1)+IF(E43-D44&lt;0,1)+IF(F43-D45&lt;0,1)+IF(G43-D46&lt;0,1))</f>
        <v>0-0</v>
      </c>
      <c r="I43" s="163" t="str">
        <f t="shared" ref="I43:I46" si="10">IF(AND(B43&lt;&gt;"",R$41=TRUE),A$41&amp;RANK(S43,S$42:S$46,0)," ")</f>
        <v xml:space="preserve"> </v>
      </c>
      <c r="J43" s="264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59">
        <f>SUM(AND(T43=T42,C43&gt;D42),AND(T43=T44,E43&gt;D44),AND(T43=T45,F43&gt;D45),AND(T43=T46,G43&gt;D46))</f>
        <v>0</v>
      </c>
      <c r="L43" s="265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59">
        <f>SUM(AND(R43=R42,C43&gt;D42),AND(R43=R44,E43&gt;D44),AND(R43=R45,F43&gt;D45),AND(R43=R46,G43&gt;D46))</f>
        <v>0</v>
      </c>
      <c r="N43" s="305" t="str">
        <f>SUM(C43:G43)&amp;"-"&amp;SUM(D42:D46)</f>
        <v>0-0</v>
      </c>
      <c r="O43" s="306">
        <f>C43+E43+F43+G43-D42-D44-D45-D46</f>
        <v>0</v>
      </c>
      <c r="P43" s="260" t="e">
        <f>SUM(C43:G43,D42:D46)/SUM(D42:D46)</f>
        <v>#DIV/0!</v>
      </c>
      <c r="Q43" s="266">
        <f>VALUE(LEFT(H43,1))</f>
        <v>0</v>
      </c>
      <c r="R43" s="193">
        <f>Q43*100000+J43*10000+K43*1000+100*L43</f>
        <v>0</v>
      </c>
      <c r="S43" s="261">
        <f>R43+M43*0.1+IF(ISNONTEXT(B43),0,0.01)+0.0001*O43</f>
        <v>0</v>
      </c>
      <c r="T43" s="262" t="str">
        <f>Q43&amp;J43</f>
        <v>00</v>
      </c>
      <c r="U43" s="253"/>
      <c r="V43" s="253"/>
      <c r="W43" s="253"/>
      <c r="X43" s="253"/>
      <c r="Y43" s="253"/>
      <c r="Z43" s="253"/>
      <c r="AA43" s="253"/>
      <c r="AD43" s="211">
        <f t="shared" si="0"/>
        <v>0</v>
      </c>
      <c r="AE43" s="212" t="str">
        <f>IFERROR(INDEX(V!$R:$R,MATCH(AF43,V!$L:$L,0)),"")</f>
        <v/>
      </c>
      <c r="AF43" s="213" t="str">
        <f t="shared" si="1"/>
        <v/>
      </c>
      <c r="AG43" s="212" t="str">
        <f>IFERROR(INDEX(V!$R:$R,MATCH(AH43,V!$L:$L,0)),"")</f>
        <v/>
      </c>
      <c r="AH43" s="213" t="str">
        <f t="shared" si="2"/>
        <v/>
      </c>
      <c r="AI43" s="212" t="str">
        <f>IFERROR(INDEX(V!$R:$R,MATCH(AJ43,V!$L:$L,0)),"")</f>
        <v/>
      </c>
      <c r="AJ43" s="213" t="str">
        <f t="shared" si="3"/>
        <v/>
      </c>
      <c r="AK43" s="212" t="str">
        <f>IFERROR(INDEX(V!$R:$R,MATCH(AL43,V!$L:$L,0)),"")</f>
        <v/>
      </c>
      <c r="AL43" s="213" t="str">
        <f t="shared" si="4"/>
        <v/>
      </c>
      <c r="AM43" s="212" t="str">
        <f>IFERROR(INDEX(V!$R:$R,MATCH(AN43,V!$L:$L,0)),"")</f>
        <v/>
      </c>
      <c r="AN43" s="213" t="str">
        <f t="shared" si="5"/>
        <v/>
      </c>
      <c r="AO43" s="212" t="str">
        <f>IFERROR(INDEX(V!$R:$R,MATCH(AP43,V!$L:$L,0)),"")</f>
        <v/>
      </c>
      <c r="AP43" s="213" t="str">
        <f t="shared" si="6"/>
        <v/>
      </c>
    </row>
    <row r="44" spans="1:42" hidden="1" x14ac:dyDescent="0.2">
      <c r="A44" s="188">
        <v>3</v>
      </c>
      <c r="B44" s="263"/>
      <c r="C44" s="190"/>
      <c r="D44" s="267"/>
      <c r="E44" s="191"/>
      <c r="F44" s="190"/>
      <c r="G44" s="190"/>
      <c r="H44" s="189" t="str">
        <f>(IF(C44-E42&gt;0,1)+IF(D44-E43&gt;0,1)+IF(F44-E45&gt;0,1)+IF(G44-E46&gt;0,1))&amp;"-"&amp;(IF(C44-E42&lt;0,1)+IF(D44-E43&lt;0,1)+IF(F44-E45&lt;0,1)+IF(G44-E46&lt;0,1))</f>
        <v>0-0</v>
      </c>
      <c r="I44" s="163" t="str">
        <f t="shared" si="10"/>
        <v xml:space="preserve"> </v>
      </c>
      <c r="J44" s="264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59">
        <f>SUM(AND(T44=T42,C44&gt;E42),AND(T44=T43,D44&gt;E43),AND(T44=T45,F44&gt;E45),AND(T44=T46,G44&gt;E46))</f>
        <v>0</v>
      </c>
      <c r="L44" s="265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59">
        <f>SUM(AND(R44=R42,C44&gt;E42),AND(R44=R43,D44&gt;E43),AND(R44=R45,F44&gt;E45),AND(R44=R46,G44&gt;E46))</f>
        <v>0</v>
      </c>
      <c r="N44" s="305" t="str">
        <f>SUM(C44:G44)&amp;"-"&amp;SUM(E42:E46)</f>
        <v>0-0</v>
      </c>
      <c r="O44" s="306">
        <f>C44+D44+F44+G44-E42-E43-E45-E46</f>
        <v>0</v>
      </c>
      <c r="P44" s="260" t="e">
        <f>SUM(C44:G44,E42:E46)/SUM(E42:E46)</f>
        <v>#DIV/0!</v>
      </c>
      <c r="Q44" s="266">
        <f>VALUE(LEFT(H44,1))</f>
        <v>0</v>
      </c>
      <c r="R44" s="193">
        <f>Q44*100000+J44*10000+K44*1000+100*L44</f>
        <v>0</v>
      </c>
      <c r="S44" s="261">
        <f>R44+M44*0.1+IF(ISNONTEXT(B44),0,0.01)+0.0001*O44</f>
        <v>0</v>
      </c>
      <c r="T44" s="262" t="str">
        <f>Q44&amp;J44</f>
        <v>00</v>
      </c>
      <c r="U44" s="253"/>
      <c r="V44" s="253"/>
      <c r="W44" s="253"/>
      <c r="X44" s="253"/>
      <c r="Y44" s="253"/>
      <c r="Z44" s="253"/>
      <c r="AA44" s="253"/>
      <c r="AD44" s="211">
        <f t="shared" si="0"/>
        <v>0</v>
      </c>
      <c r="AE44" s="212" t="str">
        <f>IFERROR(INDEX(V!$R:$R,MATCH(AF44,V!$L:$L,0)),"")</f>
        <v/>
      </c>
      <c r="AF44" s="213" t="str">
        <f t="shared" si="1"/>
        <v/>
      </c>
      <c r="AG44" s="212" t="str">
        <f>IFERROR(INDEX(V!$R:$R,MATCH(AH44,V!$L:$L,0)),"")</f>
        <v/>
      </c>
      <c r="AH44" s="213" t="str">
        <f t="shared" si="2"/>
        <v/>
      </c>
      <c r="AI44" s="212" t="str">
        <f>IFERROR(INDEX(V!$R:$R,MATCH(AJ44,V!$L:$L,0)),"")</f>
        <v/>
      </c>
      <c r="AJ44" s="213" t="str">
        <f t="shared" si="3"/>
        <v/>
      </c>
      <c r="AK44" s="212" t="str">
        <f>IFERROR(INDEX(V!$R:$R,MATCH(AL44,V!$L:$L,0)),"")</f>
        <v/>
      </c>
      <c r="AL44" s="213" t="str">
        <f t="shared" si="4"/>
        <v/>
      </c>
      <c r="AM44" s="212" t="str">
        <f>IFERROR(INDEX(V!$R:$R,MATCH(AN44,V!$L:$L,0)),"")</f>
        <v/>
      </c>
      <c r="AN44" s="213" t="str">
        <f t="shared" si="5"/>
        <v/>
      </c>
      <c r="AO44" s="212" t="str">
        <f>IFERROR(INDEX(V!$R:$R,MATCH(AP44,V!$L:$L,0)),"")</f>
        <v/>
      </c>
      <c r="AP44" s="213" t="str">
        <f t="shared" si="6"/>
        <v/>
      </c>
    </row>
    <row r="45" spans="1:42" hidden="1" x14ac:dyDescent="0.2">
      <c r="A45" s="188">
        <v>4</v>
      </c>
      <c r="B45" s="268"/>
      <c r="C45" s="190"/>
      <c r="D45" s="267"/>
      <c r="E45" s="190"/>
      <c r="F45" s="191"/>
      <c r="G45" s="286"/>
      <c r="H45" s="189" t="str">
        <f>(IF(C45-F42&gt;0,1)+IF(D45-F43&gt;0,1)+IF(E45-F44&gt;0,1)+IF(G45-F46&gt;0,1))&amp;"-"&amp;(IF(C45-F42&lt;0,1)+IF(D45-F43&lt;0,1)+IF(E45-F44&lt;0,1)+IF(G45-F46&lt;0,1))</f>
        <v>0-0</v>
      </c>
      <c r="I45" s="163" t="str">
        <f t="shared" si="10"/>
        <v xml:space="preserve"> </v>
      </c>
      <c r="J45" s="264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59">
        <f>SUM(AND(T45=T42,C45&gt;F42),AND(T45=T43,D45&gt;F43),AND(T45=T44,E45&gt;F44),AND(T45=T46,G45&gt;F46))</f>
        <v>0</v>
      </c>
      <c r="L45" s="265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59">
        <f>SUM(AND(R45=R42,C45&gt;F42),AND(R45=R43,D45&gt;F43),AND(R45=R44,E45&gt;F44),AND(R45=R46,G45&gt;F46))</f>
        <v>0</v>
      </c>
      <c r="N45" s="305" t="str">
        <f>SUM(C45:G45)&amp;"-"&amp;SUM(F42:F46)</f>
        <v>0-0</v>
      </c>
      <c r="O45" s="306">
        <f>C45+D45+E45+G45-F42-F43-F44-F46</f>
        <v>0</v>
      </c>
      <c r="P45" s="260" t="e">
        <f>SUM(C45:G45,F42:F46)/SUM(F42:F46)</f>
        <v>#DIV/0!</v>
      </c>
      <c r="Q45" s="266">
        <f>VALUE(LEFT(H45,1))</f>
        <v>0</v>
      </c>
      <c r="R45" s="193">
        <f>Q45*100000+J45*10000+K45*1000+100*L45</f>
        <v>0</v>
      </c>
      <c r="S45" s="261">
        <f>R45+M45*0.1+IF(ISNONTEXT(B45),0,0.01)+0.0001*O45</f>
        <v>0</v>
      </c>
      <c r="T45" s="262" t="str">
        <f>Q45&amp;J45</f>
        <v>00</v>
      </c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</row>
    <row r="46" spans="1:42" hidden="1" x14ac:dyDescent="0.2">
      <c r="A46" s="188">
        <v>5</v>
      </c>
      <c r="B46" s="268"/>
      <c r="C46" s="190"/>
      <c r="D46" s="190"/>
      <c r="E46" s="190"/>
      <c r="F46" s="190"/>
      <c r="G46" s="191"/>
      <c r="H46" s="189" t="str">
        <f>(IF(C46-G42&gt;0,1)+IF(D46-G43&gt;0,1)+IF(E46-G44&gt;0,1)+IF(F46-G45&gt;0,1))&amp;"-"&amp;(IF(C46-G42&lt;0,1)+IF(D46-G43&lt;0,1)+IF(E46-G44&lt;0,1)+IF(F46-G45&lt;0,1))</f>
        <v>0-0</v>
      </c>
      <c r="I46" s="163" t="str">
        <f t="shared" si="10"/>
        <v xml:space="preserve"> </v>
      </c>
      <c r="J46" s="264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59">
        <f>SUM(AND(T46=T42,C46&gt;G42),AND(T46=T43,D46&gt;G43),AND(T46=T44,E46&gt;G44),AND(T46=T45,F46&gt;G45))</f>
        <v>0</v>
      </c>
      <c r="L46" s="265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59">
        <f>SUM(AND(R46=R42,C46&gt;G42),AND(R46=R43,D46&gt;G43),AND(R46=R44,E46&gt;G44),AND(R46=R45,F46&gt;G45))</f>
        <v>0</v>
      </c>
      <c r="N46" s="305" t="str">
        <f>SUM(C46:G46)&amp;"-"&amp;SUM(G42:G46)</f>
        <v>0-0</v>
      </c>
      <c r="O46" s="306">
        <f>C46+D46+E46+F46-G42-G43-G44-G45</f>
        <v>0</v>
      </c>
      <c r="P46" s="260" t="e">
        <f>SUM(C46:G46,G42:G46)/SUM(G42:G46)</f>
        <v>#DIV/0!</v>
      </c>
      <c r="Q46" s="266">
        <f>VALUE(LEFT(H46,1))</f>
        <v>0</v>
      </c>
      <c r="R46" s="193">
        <f>Q46*100000+J46*10000+K46*1000+100*L46</f>
        <v>0</v>
      </c>
      <c r="S46" s="261">
        <f>R46+M46*0.1+IF(ISNONTEXT(B46),0,0.01)+0.0001*O46</f>
        <v>0</v>
      </c>
      <c r="T46" s="262" t="str">
        <f>Q46&amp;J46</f>
        <v>00</v>
      </c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</row>
    <row r="47" spans="1:42" hidden="1" x14ac:dyDescent="0.2">
      <c r="A47" s="269"/>
      <c r="B47" s="270"/>
      <c r="C47" s="271"/>
      <c r="D47" s="272"/>
      <c r="E47" s="271"/>
      <c r="F47" s="273"/>
      <c r="G47" s="274"/>
      <c r="H47" s="275"/>
      <c r="I47" s="287"/>
      <c r="J47" s="253"/>
      <c r="K47" s="253"/>
      <c r="L47" s="253"/>
      <c r="M47" s="253"/>
      <c r="N47" s="307"/>
      <c r="O47" s="307"/>
      <c r="P47" s="253"/>
      <c r="Q47" s="253"/>
      <c r="R47" s="277" t="s">
        <v>206</v>
      </c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</row>
    <row r="48" spans="1:42" hidden="1" x14ac:dyDescent="0.2">
      <c r="A48" s="253"/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</row>
    <row r="49" spans="1:36" hidden="1" x14ac:dyDescent="0.2">
      <c r="A49" s="253"/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</row>
    <row r="50" spans="1:36" hidden="1" x14ac:dyDescent="0.2">
      <c r="A50" s="253"/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</row>
    <row r="51" spans="1:36" hidden="1" x14ac:dyDescent="0.2">
      <c r="A51" s="253"/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3"/>
    </row>
    <row r="52" spans="1:36" hidden="1" x14ac:dyDescent="0.2">
      <c r="A52" s="253"/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</row>
    <row r="53" spans="1:36" hidden="1" x14ac:dyDescent="0.2">
      <c r="A53" s="253"/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53"/>
    </row>
    <row r="54" spans="1:36" hidden="1" x14ac:dyDescent="0.2">
      <c r="A54" s="253"/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  <c r="AI54" s="253"/>
      <c r="AJ54" s="253"/>
    </row>
    <row r="55" spans="1:36" hidden="1" x14ac:dyDescent="0.2">
      <c r="A55" s="253"/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  <c r="AI55" s="253"/>
      <c r="AJ55" s="253"/>
    </row>
    <row r="56" spans="1:36" hidden="1" x14ac:dyDescent="0.2">
      <c r="A56" s="253"/>
      <c r="B56" s="253"/>
      <c r="C56" s="253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  <c r="AJ56" s="253"/>
    </row>
    <row r="57" spans="1:36" hidden="1" x14ac:dyDescent="0.2">
      <c r="A57" s="253"/>
      <c r="B57" s="253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53"/>
      <c r="AB57" s="253"/>
      <c r="AC57" s="253"/>
      <c r="AD57" s="253"/>
      <c r="AE57" s="253"/>
      <c r="AF57" s="253"/>
      <c r="AG57" s="253"/>
      <c r="AH57" s="253"/>
      <c r="AI57" s="253"/>
      <c r="AJ57" s="253"/>
    </row>
    <row r="58" spans="1:36" hidden="1" x14ac:dyDescent="0.2">
      <c r="A58" s="253"/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53"/>
    </row>
    <row r="59" spans="1:36" hidden="1" x14ac:dyDescent="0.2">
      <c r="A59" s="253"/>
      <c r="B59" s="253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  <c r="AI59" s="253"/>
      <c r="AJ59" s="253"/>
    </row>
    <row r="60" spans="1:36" hidden="1" x14ac:dyDescent="0.2">
      <c r="A60" s="253"/>
      <c r="B60" s="253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  <c r="AI60" s="253"/>
      <c r="AJ60" s="253"/>
    </row>
    <row r="61" spans="1:36" x14ac:dyDescent="0.2">
      <c r="A61" s="253"/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</row>
    <row r="62" spans="1:36" x14ac:dyDescent="0.2">
      <c r="A62" s="41"/>
      <c r="B62" s="194" t="s">
        <v>133</v>
      </c>
      <c r="C62" s="164" t="s">
        <v>137</v>
      </c>
      <c r="D62" s="230"/>
      <c r="E62" s="41"/>
      <c r="F62" s="36"/>
      <c r="G62" s="41"/>
      <c r="H62" s="41"/>
      <c r="I62" s="41"/>
      <c r="J62" s="41"/>
      <c r="K62" s="36"/>
      <c r="L62" s="41"/>
      <c r="M62" s="36"/>
      <c r="N62" s="41"/>
      <c r="O62" s="175"/>
      <c r="P62" s="36"/>
      <c r="Q62" s="36"/>
      <c r="R62" s="36"/>
      <c r="S62" s="36"/>
      <c r="T62" s="36"/>
    </row>
    <row r="63" spans="1:36" x14ac:dyDescent="0.2">
      <c r="A63" s="41"/>
      <c r="B63" s="194" t="s">
        <v>136</v>
      </c>
      <c r="C63" s="164" t="s">
        <v>153</v>
      </c>
      <c r="D63" s="41"/>
      <c r="E63" s="41"/>
      <c r="F63" s="36"/>
      <c r="G63" s="41"/>
      <c r="H63" s="41"/>
      <c r="I63" s="41"/>
      <c r="J63" s="41"/>
      <c r="K63" s="36"/>
      <c r="L63" s="41"/>
      <c r="M63" s="36"/>
      <c r="N63" s="41"/>
      <c r="O63" s="175"/>
      <c r="P63" s="36"/>
      <c r="Q63" s="36"/>
      <c r="R63" s="36"/>
      <c r="S63" s="36"/>
      <c r="T63" s="36"/>
    </row>
    <row r="64" spans="1:36" x14ac:dyDescent="0.2">
      <c r="A64" s="41"/>
      <c r="B64" s="194" t="s">
        <v>139</v>
      </c>
      <c r="C64" s="164" t="s">
        <v>145</v>
      </c>
      <c r="D64" s="41"/>
      <c r="E64" s="41"/>
      <c r="F64" s="36"/>
      <c r="G64" s="41"/>
      <c r="H64" s="41"/>
      <c r="I64" s="41"/>
      <c r="J64" s="41"/>
      <c r="K64" s="36"/>
      <c r="L64" s="41"/>
      <c r="M64" s="36"/>
      <c r="N64" s="41"/>
      <c r="O64" s="175"/>
      <c r="P64" s="36"/>
      <c r="Q64" s="36"/>
      <c r="R64" s="36"/>
      <c r="S64" s="36"/>
      <c r="T64" s="36"/>
    </row>
    <row r="65" spans="1:20" ht="12.75" customHeight="1" x14ac:dyDescent="0.2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36"/>
      <c r="L65" s="41"/>
      <c r="M65" s="36"/>
      <c r="N65" s="41"/>
      <c r="O65" s="175"/>
      <c r="P65" s="36"/>
      <c r="Q65" s="36"/>
      <c r="R65" s="36"/>
      <c r="S65" s="36"/>
      <c r="T65" s="36"/>
    </row>
    <row r="66" spans="1:20" ht="12.75" customHeight="1" x14ac:dyDescent="0.2">
      <c r="A66" s="41"/>
      <c r="B66" s="194" t="s">
        <v>133</v>
      </c>
      <c r="C66" s="164" t="s">
        <v>146</v>
      </c>
      <c r="D66" s="164" t="s">
        <v>145</v>
      </c>
      <c r="E66" s="41"/>
      <c r="F66" s="41"/>
      <c r="G66" s="41"/>
      <c r="H66" s="41"/>
      <c r="I66" s="41"/>
      <c r="J66" s="41"/>
      <c r="K66" s="36"/>
      <c r="L66" s="41"/>
      <c r="M66" s="36"/>
      <c r="N66" s="41"/>
      <c r="O66" s="175"/>
      <c r="P66" s="36"/>
      <c r="Q66" s="36"/>
      <c r="R66" s="36"/>
      <c r="S66" s="36"/>
      <c r="T66" s="36"/>
    </row>
    <row r="67" spans="1:20" ht="12.75" customHeight="1" x14ac:dyDescent="0.2">
      <c r="A67" s="41"/>
      <c r="B67" s="194" t="s">
        <v>136</v>
      </c>
      <c r="C67" s="164" t="s">
        <v>137</v>
      </c>
      <c r="D67" s="164" t="s">
        <v>135</v>
      </c>
      <c r="E67" s="41"/>
      <c r="F67" s="41"/>
      <c r="G67" s="41"/>
      <c r="H67" s="41"/>
      <c r="I67" s="41"/>
      <c r="J67" s="41"/>
      <c r="K67" s="36"/>
      <c r="L67" s="41"/>
      <c r="M67" s="36"/>
      <c r="N67" s="41"/>
      <c r="O67" s="175"/>
      <c r="P67" s="36"/>
      <c r="Q67" s="36"/>
      <c r="R67" s="36"/>
      <c r="S67" s="36"/>
      <c r="T67" s="36"/>
    </row>
    <row r="68" spans="1:20" ht="12.75" customHeight="1" x14ac:dyDescent="0.2">
      <c r="A68" s="41"/>
      <c r="B68" s="194" t="s">
        <v>139</v>
      </c>
      <c r="C68" s="164" t="s">
        <v>153</v>
      </c>
      <c r="D68" s="164" t="s">
        <v>141</v>
      </c>
      <c r="E68" s="41"/>
      <c r="F68" s="41"/>
      <c r="G68" s="41"/>
      <c r="H68" s="41"/>
      <c r="I68" s="41"/>
      <c r="J68" s="41"/>
      <c r="K68" s="36"/>
      <c r="L68" s="41"/>
      <c r="M68" s="36"/>
      <c r="N68" s="41"/>
      <c r="O68" s="175"/>
      <c r="P68" s="36"/>
      <c r="Q68" s="36"/>
      <c r="R68" s="36"/>
      <c r="S68" s="36"/>
      <c r="T68" s="36"/>
    </row>
    <row r="69" spans="1:20" hidden="1" x14ac:dyDescent="0.2">
      <c r="A69" s="41"/>
      <c r="B69" s="196"/>
      <c r="C69" s="42"/>
      <c r="D69" s="42"/>
      <c r="E69" s="41"/>
      <c r="F69" s="41"/>
      <c r="G69" s="41"/>
      <c r="H69" s="41"/>
      <c r="I69" s="41"/>
      <c r="J69" s="41"/>
      <c r="K69" s="36"/>
      <c r="L69" s="41"/>
      <c r="M69" s="36"/>
      <c r="N69" s="41"/>
      <c r="O69" s="175"/>
      <c r="P69" s="36"/>
      <c r="Q69" s="36"/>
      <c r="R69" s="36"/>
      <c r="S69" s="36"/>
      <c r="T69" s="36"/>
    </row>
    <row r="70" spans="1:20" hidden="1" x14ac:dyDescent="0.2">
      <c r="A70" s="41"/>
      <c r="B70" s="194" t="s">
        <v>133</v>
      </c>
      <c r="C70" s="164" t="s">
        <v>134</v>
      </c>
      <c r="D70" s="164" t="s">
        <v>135</v>
      </c>
      <c r="E70" s="41"/>
      <c r="F70" s="36"/>
      <c r="G70" s="36"/>
      <c r="H70" s="41"/>
      <c r="I70" s="41"/>
      <c r="J70" s="41"/>
      <c r="K70" s="36"/>
      <c r="L70" s="41"/>
      <c r="M70" s="36"/>
      <c r="N70" s="41"/>
      <c r="O70" s="175"/>
      <c r="P70" s="36"/>
      <c r="Q70" s="36"/>
      <c r="R70" s="36"/>
      <c r="S70" s="36"/>
      <c r="T70" s="36"/>
    </row>
    <row r="71" spans="1:20" hidden="1" x14ac:dyDescent="0.2">
      <c r="A71" s="41"/>
      <c r="B71" s="194" t="s">
        <v>136</v>
      </c>
      <c r="C71" s="164" t="s">
        <v>146</v>
      </c>
      <c r="D71" s="164" t="s">
        <v>145</v>
      </c>
      <c r="E71" s="41"/>
      <c r="F71" s="36"/>
      <c r="G71" s="36"/>
      <c r="H71" s="36"/>
      <c r="I71" s="41"/>
      <c r="J71" s="41"/>
      <c r="K71" s="36"/>
      <c r="L71" s="41"/>
      <c r="M71" s="36"/>
      <c r="N71" s="41"/>
      <c r="O71" s="175"/>
      <c r="P71" s="36"/>
      <c r="Q71" s="36"/>
      <c r="R71" s="36"/>
      <c r="S71" s="36"/>
      <c r="T71" s="36"/>
    </row>
    <row r="72" spans="1:20" hidden="1" x14ac:dyDescent="0.2">
      <c r="A72" s="41"/>
      <c r="B72" s="194" t="s">
        <v>139</v>
      </c>
      <c r="C72" s="164" t="s">
        <v>137</v>
      </c>
      <c r="D72" s="164" t="s">
        <v>138</v>
      </c>
      <c r="E72" s="41"/>
      <c r="F72" s="36"/>
      <c r="G72" s="36"/>
      <c r="H72" s="41"/>
      <c r="I72" s="41"/>
      <c r="J72" s="41"/>
      <c r="K72" s="36"/>
      <c r="L72" s="41"/>
      <c r="M72" s="36"/>
      <c r="N72" s="41"/>
      <c r="O72" s="175"/>
      <c r="P72" s="36"/>
      <c r="Q72" s="36"/>
      <c r="R72" s="36"/>
      <c r="S72" s="36"/>
      <c r="T72" s="36"/>
    </row>
    <row r="73" spans="1:20" hidden="1" x14ac:dyDescent="0.2">
      <c r="A73" s="41"/>
      <c r="B73" s="194" t="s">
        <v>142</v>
      </c>
      <c r="C73" s="231" t="s">
        <v>153</v>
      </c>
      <c r="D73" s="164" t="s">
        <v>143</v>
      </c>
      <c r="E73" s="41"/>
      <c r="F73" s="36"/>
      <c r="G73" s="36"/>
      <c r="H73" s="41"/>
      <c r="I73" s="41"/>
      <c r="J73" s="41"/>
      <c r="K73" s="36"/>
      <c r="L73" s="41"/>
      <c r="M73" s="36"/>
      <c r="N73" s="41"/>
      <c r="O73" s="175"/>
      <c r="P73" s="36"/>
      <c r="Q73" s="36"/>
      <c r="R73" s="36"/>
      <c r="S73" s="36"/>
      <c r="T73" s="36"/>
    </row>
    <row r="74" spans="1:20" hidden="1" x14ac:dyDescent="0.2">
      <c r="A74" s="41"/>
      <c r="B74" s="194" t="s">
        <v>144</v>
      </c>
      <c r="C74" s="164" t="s">
        <v>140</v>
      </c>
      <c r="D74" s="164" t="s">
        <v>141</v>
      </c>
      <c r="E74" s="41"/>
      <c r="F74" s="36"/>
      <c r="G74" s="36"/>
      <c r="H74" s="41"/>
      <c r="I74" s="41"/>
      <c r="J74" s="41"/>
      <c r="K74" s="36"/>
      <c r="L74" s="41"/>
      <c r="M74" s="36"/>
      <c r="N74" s="41"/>
      <c r="O74" s="175"/>
      <c r="P74" s="36"/>
      <c r="Q74" s="36"/>
      <c r="R74" s="36"/>
      <c r="S74" s="36"/>
      <c r="T74" s="36"/>
    </row>
    <row r="75" spans="1:20" hidden="1" x14ac:dyDescent="0.2"/>
    <row r="76" spans="1:20" hidden="1" x14ac:dyDescent="0.2"/>
    <row r="77" spans="1:20" hidden="1" x14ac:dyDescent="0.2"/>
    <row r="78" spans="1:20" hidden="1" x14ac:dyDescent="0.2"/>
    <row r="79" spans="1:20" hidden="1" x14ac:dyDescent="0.2"/>
    <row r="80" spans="1:2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11" hidden="1" x14ac:dyDescent="0.2"/>
    <row r="98" spans="1:11" hidden="1" x14ac:dyDescent="0.2"/>
    <row r="100" spans="1:11" x14ac:dyDescent="0.2">
      <c r="A100" s="167" t="s">
        <v>377</v>
      </c>
      <c r="B100" s="168"/>
      <c r="C100" s="169"/>
      <c r="D100" s="169"/>
      <c r="E100" s="169"/>
      <c r="F100" s="166"/>
      <c r="G100" s="164"/>
      <c r="H100" s="156"/>
      <c r="I100" s="156"/>
      <c r="J100" s="156"/>
      <c r="K100" s="156"/>
    </row>
    <row r="102" spans="1:11" x14ac:dyDescent="0.2">
      <c r="B102" s="967" t="s">
        <v>155</v>
      </c>
      <c r="C102" s="238" t="str">
        <f>IF(A64="-","-",IFERROR(INDEX(B$1:B$100,MATCH(B102,I$1:I$100,0)),""))</f>
        <v>Oksana Rõndenkova, Oleg Rõndenkov, Aleksander Korikov</v>
      </c>
      <c r="D102" s="156"/>
      <c r="E102" s="177">
        <v>13</v>
      </c>
      <c r="F102" s="177"/>
      <c r="G102" s="177"/>
      <c r="H102" s="156"/>
    </row>
    <row r="103" spans="1:11" x14ac:dyDescent="0.2">
      <c r="B103" s="371"/>
      <c r="C103" s="239"/>
      <c r="D103" s="203"/>
      <c r="E103" s="179" t="str">
        <f>IF(COUNT(E102,E104)=2,IF(E102&gt;E104,C102,C104),"")</f>
        <v>Oksana Rõndenkova, Oleg Rõndenkov, Aleksander Korikov</v>
      </c>
      <c r="F103" s="156"/>
      <c r="G103" s="177">
        <v>13</v>
      </c>
      <c r="H103" s="156"/>
    </row>
    <row r="104" spans="1:11" x14ac:dyDescent="0.2">
      <c r="B104" s="967" t="s">
        <v>160</v>
      </c>
      <c r="C104" s="238" t="str">
        <f>IF(A68="-","-",IFERROR(INDEX(B$1:B$100,MATCH(B104,I$1:I$100,0)),""))</f>
        <v>Boriss Klubov, Elmo Lageda, Liidia Põllu</v>
      </c>
      <c r="D104" s="240"/>
      <c r="E104" s="180">
        <v>10</v>
      </c>
      <c r="F104" s="203"/>
      <c r="G104" s="156"/>
      <c r="H104" s="156"/>
    </row>
    <row r="105" spans="1:11" ht="13.5" thickBot="1" x14ac:dyDescent="0.25">
      <c r="B105" s="371"/>
      <c r="C105" s="177"/>
      <c r="D105" s="177"/>
      <c r="E105" s="184"/>
      <c r="F105" s="185"/>
      <c r="G105" s="204"/>
      <c r="H105" s="165" t="str">
        <f>IF(COUNT(G103,G107)=2,IF(G103&gt;G107,E103,E107),"")</f>
        <v>Oksana Rõndenkova, Oleg Rõndenkov, Aleksander Korikov</v>
      </c>
    </row>
    <row r="106" spans="1:11" x14ac:dyDescent="0.2">
      <c r="B106" s="967" t="s">
        <v>157</v>
      </c>
      <c r="C106" s="238" t="str">
        <f>IF(A94="-","-",IFERROR(INDEX(B$1:B$100,MATCH(B106,I$1:I$100,0)),""))</f>
        <v>Jaan Saar, Olav Türk, Sirje Maala</v>
      </c>
      <c r="D106" s="177"/>
      <c r="E106" s="177">
        <v>7</v>
      </c>
      <c r="F106" s="185"/>
      <c r="G106" s="183"/>
      <c r="H106" s="170" t="s">
        <v>147</v>
      </c>
      <c r="I106" s="199"/>
    </row>
    <row r="107" spans="1:11" x14ac:dyDescent="0.2">
      <c r="B107" s="371"/>
      <c r="C107" s="239"/>
      <c r="D107" s="203"/>
      <c r="E107" s="179" t="str">
        <f>IF(COUNT(E106,E108)=2,IF(E106&gt;E108,C106,C108),"")</f>
        <v>Annaliset Neiland, Henri Mitt, Oliver Ojasalu</v>
      </c>
      <c r="F107" s="236"/>
      <c r="G107" s="180">
        <v>10</v>
      </c>
      <c r="H107" s="168"/>
      <c r="I107" s="200"/>
    </row>
    <row r="108" spans="1:11" ht="13.5" thickBot="1" x14ac:dyDescent="0.25">
      <c r="B108" s="967" t="s">
        <v>161</v>
      </c>
      <c r="C108" s="238" t="str">
        <f>IF(A90="-","-",IFERROR(INDEX(B$1:B$100,MATCH(B108,I$1:I$100,0)),""))</f>
        <v>Annaliset Neiland, Henri Mitt, Oliver Ojasalu</v>
      </c>
      <c r="D108" s="240"/>
      <c r="E108" s="180">
        <v>13</v>
      </c>
      <c r="F108" s="177"/>
      <c r="G108" s="184"/>
      <c r="H108" s="319" t="str">
        <f>IF(COUNT(G103,G107)=2,IF(G103&lt;G107,E103,E107),"")</f>
        <v>Annaliset Neiland, Henri Mitt, Oliver Ojasalu</v>
      </c>
      <c r="I108" s="320"/>
    </row>
    <row r="109" spans="1:11" x14ac:dyDescent="0.2">
      <c r="B109" s="156"/>
      <c r="C109" s="177"/>
      <c r="D109" s="177"/>
      <c r="E109" s="177"/>
      <c r="F109" s="177"/>
      <c r="G109" s="184"/>
      <c r="H109" s="173" t="s">
        <v>148</v>
      </c>
    </row>
    <row r="110" spans="1:11" x14ac:dyDescent="0.2">
      <c r="B110" s="156"/>
      <c r="C110" s="177"/>
      <c r="D110" s="184"/>
      <c r="E110" s="165" t="str">
        <f>IF(COUNT(E102,E104)=2,IF(E102&lt;E104,C102,C104),"")</f>
        <v>Boriss Klubov, Elmo Lageda, Liidia Põllu</v>
      </c>
      <c r="F110" s="156"/>
      <c r="G110" s="184">
        <v>2</v>
      </c>
      <c r="H110" s="168"/>
    </row>
    <row r="111" spans="1:11" ht="13.5" thickBot="1" x14ac:dyDescent="0.25">
      <c r="B111" s="156"/>
      <c r="C111" s="177"/>
      <c r="D111" s="184"/>
      <c r="E111" s="237"/>
      <c r="F111" s="202"/>
      <c r="G111" s="321"/>
      <c r="H111" s="165" t="str">
        <f>IF(COUNT(G110,G112)=2,IF(G110&gt;G112,E110,E112),"")</f>
        <v>Jaan Saar, Olav Türk, Sirje Maala</v>
      </c>
    </row>
    <row r="112" spans="1:11" x14ac:dyDescent="0.2">
      <c r="B112" s="156"/>
      <c r="C112" s="177"/>
      <c r="D112" s="184"/>
      <c r="E112" s="238" t="str">
        <f>IF(COUNT(E106,E108)=2,IF(E106&lt;E108,C106,C108),"")</f>
        <v>Jaan Saar, Olav Türk, Sirje Maala</v>
      </c>
      <c r="F112" s="236"/>
      <c r="G112" s="180">
        <v>13</v>
      </c>
      <c r="H112" s="170" t="s">
        <v>149</v>
      </c>
      <c r="I112" s="199"/>
    </row>
    <row r="114" spans="1:9" ht="13.5" thickBot="1" x14ac:dyDescent="0.25">
      <c r="H114" s="322" t="str">
        <f>IF(COUNT(G110,G112)=2,IF(G110&lt;G112,E110,E112),"")</f>
        <v>Boriss Klubov, Elmo Lageda, Liidia Põllu</v>
      </c>
      <c r="I114" s="320"/>
    </row>
    <row r="115" spans="1:9" x14ac:dyDescent="0.2">
      <c r="H115" s="173" t="s">
        <v>150</v>
      </c>
    </row>
    <row r="117" spans="1:9" x14ac:dyDescent="0.2">
      <c r="A117" s="197" t="s">
        <v>378</v>
      </c>
    </row>
    <row r="119" spans="1:9" x14ac:dyDescent="0.2">
      <c r="A119" s="188"/>
      <c r="B119" s="242"/>
      <c r="C119" s="243">
        <v>1</v>
      </c>
      <c r="D119" s="243">
        <v>2</v>
      </c>
      <c r="E119" s="243">
        <v>3</v>
      </c>
      <c r="F119" s="243" t="s">
        <v>130</v>
      </c>
      <c r="G119" s="161" t="s">
        <v>131</v>
      </c>
    </row>
    <row r="120" spans="1:9" x14ac:dyDescent="0.2">
      <c r="A120" s="188" t="s">
        <v>165</v>
      </c>
      <c r="B120" s="255" t="str">
        <f>IF(A64="-","-",IFERROR(INDEX(B$1:B$100,MATCH(A120,I$1:I$100,0)),""))</f>
        <v>Enn Tokman, Kenneth Muusikus, Sander Rose</v>
      </c>
      <c r="C120" s="191"/>
      <c r="D120" s="190">
        <v>13</v>
      </c>
      <c r="E120" s="190">
        <v>7</v>
      </c>
      <c r="F120" s="747" t="s">
        <v>381</v>
      </c>
      <c r="G120" s="244">
        <v>2</v>
      </c>
    </row>
    <row r="121" spans="1:9" x14ac:dyDescent="0.2">
      <c r="A121" s="188" t="s">
        <v>208</v>
      </c>
      <c r="B121" s="263" t="str">
        <f>IF(A64="-","-",IFERROR(INDEX(B$1:B$100,MATCH(A121,I$1:I$100,0)),""))</f>
        <v>Andrei Grintšak, Johannes Neiland, Urmas Randlaine</v>
      </c>
      <c r="C121" s="190">
        <v>1</v>
      </c>
      <c r="D121" s="191"/>
      <c r="E121" s="190">
        <v>6</v>
      </c>
      <c r="F121" s="189" t="s">
        <v>379</v>
      </c>
      <c r="G121" s="244">
        <v>3</v>
      </c>
    </row>
    <row r="122" spans="1:9" x14ac:dyDescent="0.2">
      <c r="A122" s="188" t="s">
        <v>166</v>
      </c>
      <c r="B122" s="263" t="str">
        <f>IF(A64="-","-",IFERROR(INDEX(B$1:B$100,MATCH(A122,I$1:I$100,0)),""))</f>
        <v>Jaan Sepp, Kaspar Mänd, Oskar Sepp</v>
      </c>
      <c r="C122" s="190">
        <v>13</v>
      </c>
      <c r="D122" s="267">
        <v>13</v>
      </c>
      <c r="E122" s="191"/>
      <c r="F122" s="189" t="s">
        <v>380</v>
      </c>
      <c r="G122" s="244">
        <v>1</v>
      </c>
    </row>
    <row r="123" spans="1:9" hidden="1" x14ac:dyDescent="0.2">
      <c r="A123" s="188">
        <v>4</v>
      </c>
      <c r="B123" s="268"/>
      <c r="C123" s="190"/>
      <c r="D123" s="267"/>
      <c r="E123" s="190"/>
      <c r="F123" s="191"/>
      <c r="G123" s="190"/>
      <c r="H123" s="189" t="e">
        <f>(IF(C123-#REF!&gt;0,1)+IF(D123-#REF!&gt;0,1)+IF(E123-#REF!&gt;0,1)+IF(G123-F124&gt;0,1))&amp;"-"&amp;(IF(C123-#REF!&lt;0,1)+IF(D123-#REF!&lt;0,1)+IF(E123-#REF!&lt;0,1)+IF(G123-F124&lt;0,1))</f>
        <v>#REF!</v>
      </c>
      <c r="I123" s="190" t="str">
        <f>IF(AND(B123&lt;&gt;"",R$6=TRUE),A$6&amp;RANK(S123,S$7:S$11,0)," ")</f>
        <v xml:space="preserve"> </v>
      </c>
    </row>
    <row r="124" spans="1:9" hidden="1" x14ac:dyDescent="0.2">
      <c r="A124" s="188">
        <v>5</v>
      </c>
      <c r="B124" s="268"/>
      <c r="C124" s="190"/>
      <c r="D124" s="190"/>
      <c r="E124" s="190"/>
      <c r="F124" s="190"/>
      <c r="G124" s="191"/>
      <c r="H124" s="189" t="e">
        <f>(IF(C124-#REF!&gt;0,1)+IF(D124-#REF!&gt;0,1)+IF(E124-#REF!&gt;0,1)+IF(F124-G123&gt;0,1))&amp;"-"&amp;(IF(C124-#REF!&lt;0,1)+IF(D124-#REF!&lt;0,1)+IF(E124-#REF!&lt;0,1)+IF(F124-G123&lt;0,1))</f>
        <v>#REF!</v>
      </c>
      <c r="I124" s="190" t="str">
        <f>IF(AND(B124&lt;&gt;"",R$6=TRUE),A$6&amp;RANK(S124,S$7:S$11,0)," ")</f>
        <v xml:space="preserve"> </v>
      </c>
    </row>
    <row r="126" spans="1:9" ht="13.5" thickBot="1" x14ac:dyDescent="0.25">
      <c r="H126" s="165" t="s">
        <v>375</v>
      </c>
    </row>
    <row r="127" spans="1:9" x14ac:dyDescent="0.2">
      <c r="H127" s="170" t="s">
        <v>151</v>
      </c>
      <c r="I127" s="199"/>
    </row>
    <row r="128" spans="1:9" x14ac:dyDescent="0.2">
      <c r="H128" s="168"/>
      <c r="I128" s="200"/>
    </row>
    <row r="129" spans="8:9" ht="13.5" thickBot="1" x14ac:dyDescent="0.25">
      <c r="H129" s="319" t="str">
        <f>IF(A64="-","-",IFERROR(INDEX(B$1:B$100,MATCH(A120,I$1:I$100,0)),""))</f>
        <v>Enn Tokman, Kenneth Muusikus, Sander Rose</v>
      </c>
      <c r="I129" s="320"/>
    </row>
    <row r="130" spans="8:9" x14ac:dyDescent="0.2">
      <c r="H130" s="173" t="s">
        <v>152</v>
      </c>
    </row>
    <row r="131" spans="8:9" x14ac:dyDescent="0.2">
      <c r="H131" s="168"/>
    </row>
    <row r="132" spans="8:9" ht="13.5" thickBot="1" x14ac:dyDescent="0.25">
      <c r="H132" s="165" t="s">
        <v>350</v>
      </c>
    </row>
    <row r="133" spans="8:9" x14ac:dyDescent="0.2">
      <c r="H133" s="170" t="s">
        <v>163</v>
      </c>
      <c r="I133" s="199"/>
    </row>
    <row r="134" spans="8:9" hidden="1" x14ac:dyDescent="0.2"/>
    <row r="135" spans="8:9" hidden="1" x14ac:dyDescent="0.2"/>
    <row r="136" spans="8:9" hidden="1" x14ac:dyDescent="0.2"/>
    <row r="137" spans="8:9" hidden="1" x14ac:dyDescent="0.2"/>
    <row r="138" spans="8:9" hidden="1" x14ac:dyDescent="0.2"/>
    <row r="139" spans="8:9" hidden="1" x14ac:dyDescent="0.2"/>
    <row r="140" spans="8:9" hidden="1" x14ac:dyDescent="0.2"/>
    <row r="141" spans="8:9" hidden="1" x14ac:dyDescent="0.2"/>
    <row r="142" spans="8:9" hidden="1" x14ac:dyDescent="0.2"/>
    <row r="143" spans="8:9" hidden="1" x14ac:dyDescent="0.2"/>
    <row r="144" spans="8:9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5" hidden="1" x14ac:dyDescent="0.2"/>
    <row r="290" spans="1:5" hidden="1" x14ac:dyDescent="0.2"/>
    <row r="291" spans="1:5" hidden="1" x14ac:dyDescent="0.2"/>
    <row r="292" spans="1:5" hidden="1" x14ac:dyDescent="0.2"/>
    <row r="293" spans="1:5" hidden="1" x14ac:dyDescent="0.2"/>
    <row r="294" spans="1:5" hidden="1" x14ac:dyDescent="0.2"/>
    <row r="295" spans="1:5" hidden="1" x14ac:dyDescent="0.2"/>
    <row r="296" spans="1:5" hidden="1" x14ac:dyDescent="0.2"/>
    <row r="297" spans="1:5" hidden="1" x14ac:dyDescent="0.2"/>
    <row r="299" spans="1:5" x14ac:dyDescent="0.2">
      <c r="A299" s="157"/>
      <c r="B299" s="157"/>
      <c r="C299" s="207" t="s">
        <v>190</v>
      </c>
      <c r="E299" s="724"/>
    </row>
    <row r="300" spans="1:5" x14ac:dyDescent="0.2">
      <c r="A300" s="301">
        <v>1</v>
      </c>
      <c r="B300" s="394" t="s">
        <v>376</v>
      </c>
      <c r="C300" s="274">
        <f>LARGE(A300:A400,1)*3+3-A300*3</f>
        <v>21</v>
      </c>
      <c r="E300" s="724"/>
    </row>
    <row r="301" spans="1:5" x14ac:dyDescent="0.2">
      <c r="A301" s="301">
        <v>2</v>
      </c>
      <c r="B301" s="394" t="s">
        <v>372</v>
      </c>
      <c r="C301" s="274">
        <f t="shared" ref="C301:C306" si="11">LARGE(A301:A401,1)*3+3-A301*3</f>
        <v>18</v>
      </c>
      <c r="E301" s="724"/>
    </row>
    <row r="302" spans="1:5" x14ac:dyDescent="0.2">
      <c r="A302" s="301">
        <v>3</v>
      </c>
      <c r="B302" s="394" t="s">
        <v>373</v>
      </c>
      <c r="C302" s="274">
        <f t="shared" si="11"/>
        <v>15</v>
      </c>
      <c r="E302" s="724"/>
    </row>
    <row r="303" spans="1:5" x14ac:dyDescent="0.2">
      <c r="A303" s="301">
        <v>4</v>
      </c>
      <c r="B303" s="394" t="s">
        <v>374</v>
      </c>
      <c r="C303" s="274">
        <f t="shared" si="11"/>
        <v>12</v>
      </c>
      <c r="E303" s="724"/>
    </row>
    <row r="304" spans="1:5" x14ac:dyDescent="0.2">
      <c r="A304" s="301">
        <v>5</v>
      </c>
      <c r="B304" s="394" t="s">
        <v>375</v>
      </c>
      <c r="C304" s="274">
        <f t="shared" si="11"/>
        <v>9</v>
      </c>
      <c r="E304" s="724"/>
    </row>
    <row r="305" spans="1:5" x14ac:dyDescent="0.2">
      <c r="A305" s="301">
        <v>6</v>
      </c>
      <c r="B305" s="394" t="s">
        <v>351</v>
      </c>
      <c r="C305" s="274">
        <f t="shared" si="11"/>
        <v>6</v>
      </c>
      <c r="E305" s="724"/>
    </row>
    <row r="306" spans="1:5" x14ac:dyDescent="0.2">
      <c r="A306" s="301">
        <v>7</v>
      </c>
      <c r="B306" s="394" t="s">
        <v>350</v>
      </c>
      <c r="C306" s="274">
        <f t="shared" si="11"/>
        <v>3</v>
      </c>
      <c r="E306" s="724"/>
    </row>
  </sheetData>
  <conditionalFormatting sqref="D7 C8">
    <cfRule type="aboveAverage" dxfId="315" priority="418"/>
  </conditionalFormatting>
  <conditionalFormatting sqref="E7 C9">
    <cfRule type="aboveAverage" dxfId="314" priority="417"/>
  </conditionalFormatting>
  <conditionalFormatting sqref="F7 C10">
    <cfRule type="aboveAverage" dxfId="313" priority="416"/>
  </conditionalFormatting>
  <conditionalFormatting sqref="E8 D9">
    <cfRule type="aboveAverage" dxfId="312" priority="415"/>
  </conditionalFormatting>
  <conditionalFormatting sqref="G7 C11">
    <cfRule type="aboveAverage" dxfId="311" priority="414"/>
  </conditionalFormatting>
  <conditionalFormatting sqref="F8 D10">
    <cfRule type="aboveAverage" dxfId="310" priority="413"/>
  </conditionalFormatting>
  <conditionalFormatting sqref="G8 D11">
    <cfRule type="aboveAverage" dxfId="309" priority="412"/>
  </conditionalFormatting>
  <conditionalFormatting sqref="F9 E10">
    <cfRule type="aboveAverage" dxfId="308" priority="411"/>
  </conditionalFormatting>
  <conditionalFormatting sqref="G9 E11">
    <cfRule type="aboveAverage" dxfId="307" priority="410"/>
  </conditionalFormatting>
  <conditionalFormatting sqref="F11 G10">
    <cfRule type="aboveAverage" dxfId="306" priority="409"/>
  </conditionalFormatting>
  <conditionalFormatting sqref="D14 C15">
    <cfRule type="aboveAverage" dxfId="305" priority="408"/>
  </conditionalFormatting>
  <conditionalFormatting sqref="E14 C16">
    <cfRule type="aboveAverage" dxfId="304" priority="407"/>
  </conditionalFormatting>
  <conditionalFormatting sqref="F14 C17">
    <cfRule type="aboveAverage" dxfId="303" priority="406"/>
  </conditionalFormatting>
  <conditionalFormatting sqref="E15 D16">
    <cfRule type="aboveAverage" dxfId="302" priority="405"/>
  </conditionalFormatting>
  <conditionalFormatting sqref="G14 C18">
    <cfRule type="aboveAverage" dxfId="301" priority="404"/>
  </conditionalFormatting>
  <conditionalFormatting sqref="F15 D17">
    <cfRule type="aboveAverage" dxfId="300" priority="403"/>
  </conditionalFormatting>
  <conditionalFormatting sqref="G15 D18">
    <cfRule type="aboveAverage" dxfId="299" priority="402"/>
  </conditionalFormatting>
  <conditionalFormatting sqref="F16 E17">
    <cfRule type="aboveAverage" dxfId="298" priority="401"/>
  </conditionalFormatting>
  <conditionalFormatting sqref="G16 E18">
    <cfRule type="aboveAverage" dxfId="297" priority="400"/>
  </conditionalFormatting>
  <conditionalFormatting sqref="F18 G17">
    <cfRule type="aboveAverage" dxfId="296" priority="399"/>
  </conditionalFormatting>
  <conditionalFormatting sqref="D21 C22">
    <cfRule type="aboveAverage" dxfId="295" priority="398"/>
  </conditionalFormatting>
  <conditionalFormatting sqref="E21 C23">
    <cfRule type="aboveAverage" dxfId="294" priority="397"/>
  </conditionalFormatting>
  <conditionalFormatting sqref="F21 C24">
    <cfRule type="aboveAverage" dxfId="293" priority="396"/>
  </conditionalFormatting>
  <conditionalFormatting sqref="E22 D23">
    <cfRule type="aboveAverage" dxfId="292" priority="395"/>
  </conditionalFormatting>
  <conditionalFormatting sqref="G21 C25">
    <cfRule type="aboveAverage" dxfId="291" priority="394"/>
  </conditionalFormatting>
  <conditionalFormatting sqref="F22 D24">
    <cfRule type="aboveAverage" dxfId="290" priority="393"/>
  </conditionalFormatting>
  <conditionalFormatting sqref="G22 D25">
    <cfRule type="aboveAverage" dxfId="289" priority="392"/>
  </conditionalFormatting>
  <conditionalFormatting sqref="F23 E24">
    <cfRule type="aboveAverage" dxfId="288" priority="391"/>
  </conditionalFormatting>
  <conditionalFormatting sqref="G23 E25">
    <cfRule type="aboveAverage" dxfId="287" priority="390"/>
  </conditionalFormatting>
  <conditionalFormatting sqref="F25 G24">
    <cfRule type="aboveAverage" dxfId="286" priority="389"/>
  </conditionalFormatting>
  <conditionalFormatting sqref="D28 C29">
    <cfRule type="aboveAverage" dxfId="285" priority="388"/>
  </conditionalFormatting>
  <conditionalFormatting sqref="E28 C30">
    <cfRule type="aboveAverage" dxfId="284" priority="387"/>
  </conditionalFormatting>
  <conditionalFormatting sqref="F28 C31">
    <cfRule type="aboveAverage" dxfId="283" priority="386"/>
  </conditionalFormatting>
  <conditionalFormatting sqref="E29 D30">
    <cfRule type="aboveAverage" dxfId="282" priority="385"/>
  </conditionalFormatting>
  <conditionalFormatting sqref="G28 C32">
    <cfRule type="aboveAverage" dxfId="281" priority="384"/>
  </conditionalFormatting>
  <conditionalFormatting sqref="F29 D31">
    <cfRule type="aboveAverage" dxfId="280" priority="383"/>
  </conditionalFormatting>
  <conditionalFormatting sqref="G29 D32">
    <cfRule type="aboveAverage" dxfId="279" priority="382"/>
  </conditionalFormatting>
  <conditionalFormatting sqref="F30 E31">
    <cfRule type="aboveAverage" dxfId="278" priority="381"/>
  </conditionalFormatting>
  <conditionalFormatting sqref="G30 E32">
    <cfRule type="aboveAverage" dxfId="277" priority="380"/>
  </conditionalFormatting>
  <conditionalFormatting sqref="F32 G31">
    <cfRule type="aboveAverage" dxfId="276" priority="379"/>
  </conditionalFormatting>
  <conditionalFormatting sqref="D35 C36">
    <cfRule type="aboveAverage" dxfId="275" priority="378"/>
  </conditionalFormatting>
  <conditionalFormatting sqref="E35 C37">
    <cfRule type="aboveAverage" dxfId="274" priority="377"/>
  </conditionalFormatting>
  <conditionalFormatting sqref="F35 C38">
    <cfRule type="aboveAverage" dxfId="273" priority="376"/>
  </conditionalFormatting>
  <conditionalFormatting sqref="E36 D37">
    <cfRule type="aboveAverage" dxfId="272" priority="375"/>
  </conditionalFormatting>
  <conditionalFormatting sqref="G35 C39">
    <cfRule type="aboveAverage" dxfId="271" priority="374"/>
  </conditionalFormatting>
  <conditionalFormatting sqref="F36 D38">
    <cfRule type="aboveAverage" dxfId="270" priority="373"/>
  </conditionalFormatting>
  <conditionalFormatting sqref="G36 D39">
    <cfRule type="aboveAverage" dxfId="269" priority="372"/>
  </conditionalFormatting>
  <conditionalFormatting sqref="F37 E38">
    <cfRule type="aboveAverage" dxfId="268" priority="371"/>
  </conditionalFormatting>
  <conditionalFormatting sqref="G37 E39">
    <cfRule type="aboveAverage" dxfId="267" priority="370"/>
  </conditionalFormatting>
  <conditionalFormatting sqref="F39 G38">
    <cfRule type="aboveAverage" dxfId="266" priority="369"/>
  </conditionalFormatting>
  <conditionalFormatting sqref="D42 C43">
    <cfRule type="aboveAverage" dxfId="265" priority="368"/>
  </conditionalFormatting>
  <conditionalFormatting sqref="E42 C44">
    <cfRule type="aboveAverage" dxfId="264" priority="367"/>
  </conditionalFormatting>
  <conditionalFormatting sqref="F42 C45">
    <cfRule type="aboveAverage" dxfId="263" priority="366"/>
  </conditionalFormatting>
  <conditionalFormatting sqref="E43 D44">
    <cfRule type="aboveAverage" dxfId="262" priority="365"/>
  </conditionalFormatting>
  <conditionalFormatting sqref="G42 C46">
    <cfRule type="aboveAverage" dxfId="261" priority="364"/>
  </conditionalFormatting>
  <conditionalFormatting sqref="F43 D45">
    <cfRule type="aboveAverage" dxfId="260" priority="363"/>
  </conditionalFormatting>
  <conditionalFormatting sqref="G43 D46">
    <cfRule type="aboveAverage" dxfId="259" priority="362"/>
  </conditionalFormatting>
  <conditionalFormatting sqref="F44 E45">
    <cfRule type="aboveAverage" dxfId="258" priority="361"/>
  </conditionalFormatting>
  <conditionalFormatting sqref="G44 E46">
    <cfRule type="aboveAverage" dxfId="257" priority="360"/>
  </conditionalFormatting>
  <conditionalFormatting sqref="F46 G45">
    <cfRule type="aboveAverage" dxfId="256" priority="359"/>
  </conditionalFormatting>
  <conditionalFormatting sqref="H14:H18">
    <cfRule type="expression" dxfId="255" priority="305">
      <formula>AND(Q14=4,IF(COUNTIF(Q$14:Q$18,"=4")&gt;=2,TRUE))</formula>
    </cfRule>
    <cfRule type="expression" dxfId="254" priority="419">
      <formula>AND(Q14=3,IF(COUNTIF(Q$14:Q$18,"=3")&gt;=2,TRUE))</formula>
    </cfRule>
    <cfRule type="expression" dxfId="253" priority="420">
      <formula>AND(Q14=2,IF(COUNTIF(Q$14:Q$18,"=2")&gt;=2,TRUE))</formula>
    </cfRule>
    <cfRule type="expression" dxfId="252" priority="421">
      <formula>AND(Q14=1,IF(COUNTIF(Q$14:Q$18,"=1")&gt;=2,TRUE))</formula>
    </cfRule>
  </conditionalFormatting>
  <conditionalFormatting sqref="B7:B47">
    <cfRule type="duplicateValues" dxfId="251" priority="358"/>
  </conditionalFormatting>
  <conditionalFormatting sqref="L7:L11">
    <cfRule type="expression" dxfId="250" priority="341">
      <formula>K7=0</formula>
    </cfRule>
    <cfRule type="expression" dxfId="249" priority="350">
      <formula>IF(COUNTIF(J$7:J$11,"=2")=2,TRUE)</formula>
    </cfRule>
    <cfRule type="expression" dxfId="248" priority="351">
      <formula>IF(COUNTIF(J$7:J$11,"=1")=2,TRUE)</formula>
    </cfRule>
    <cfRule type="expression" dxfId="247" priority="352">
      <formula>AND(IF(COUNTIF(Q$7:Q$11,"=1")=2,TRUE),IF(COUNTIF(Q$7:Q$11,"=2")=2,TRUE))</formula>
    </cfRule>
    <cfRule type="expression" dxfId="246" priority="353">
      <formula>AND(Q7=4,IF(COUNTIF(Q$7:Q$11,"=4")=1,TRUE))</formula>
    </cfRule>
    <cfRule type="expression" dxfId="245" priority="354">
      <formula>AND(Q7=3,IF(COUNTIF(Q$7:Q$11,"=3")=1,TRUE))</formula>
    </cfRule>
    <cfRule type="expression" dxfId="244" priority="355">
      <formula>AND(Q7=2,IF(COUNTIF(Q$7:Q$11,"=2")=1,TRUE))</formula>
    </cfRule>
    <cfRule type="expression" dxfId="243" priority="356">
      <formula>AND(Q7=1,IF(COUNTIF(Q$7:Q$11,"=1")=1,TRUE))</formula>
    </cfRule>
    <cfRule type="expression" dxfId="242" priority="357">
      <formula>OR(Q7=0,Q7=5)</formula>
    </cfRule>
  </conditionalFormatting>
  <conditionalFormatting sqref="O7:O11">
    <cfRule type="expression" dxfId="241" priority="349">
      <formula>OR(AND(J7=1,K7=1,L7=0,M7=1),AND(J7=2,K7=2,L7=0,M7=2))</formula>
    </cfRule>
  </conditionalFormatting>
  <conditionalFormatting sqref="M7:M11">
    <cfRule type="expression" dxfId="240" priority="342">
      <formula>AND(L7&gt;0,IF(COUNTIF(L$7:L$11,L7)&gt;1,TRUE,FALSE))</formula>
    </cfRule>
    <cfRule type="expression" dxfId="239" priority="343">
      <formula>AND(IF(COUNTIF(R$7:R$11,"=1")=2,TRUE),IF(COUNTIF(R$7:R$11,"=2")=2,TRUE))</formula>
    </cfRule>
    <cfRule type="expression" dxfId="238" priority="344">
      <formula>AND(R7=4,IF(COUNTIF(R$7:R$11,"=4")=1,TRUE))</formula>
    </cfRule>
    <cfRule type="expression" dxfId="237" priority="345">
      <formula>AND(R7=3,IF(COUNTIF(R$7:R$11,"=3")=1,TRUE))</formula>
    </cfRule>
    <cfRule type="expression" dxfId="236" priority="346">
      <formula>AND(R7=2,IF(COUNTIF(R$7:R$11,"=2")=1,TRUE))</formula>
    </cfRule>
    <cfRule type="expression" dxfId="235" priority="347">
      <formula>AND(R7=1,IF(COUNTIF(R$7:R$11,"=1")=1,TRUE))</formula>
    </cfRule>
    <cfRule type="expression" dxfId="234" priority="348">
      <formula>OR(R7=0,R7=5)</formula>
    </cfRule>
  </conditionalFormatting>
  <conditionalFormatting sqref="J7:J11">
    <cfRule type="expression" dxfId="233" priority="337">
      <formula>AND(Q7=4,IF(COUNTIF(Q$7:Q$11,"=4")&gt;=2,TRUE))</formula>
    </cfRule>
    <cfRule type="expression" dxfId="232" priority="338">
      <formula>AND(Q7=3,IF(COUNTIF(Q$7:Q$11,"=3")&gt;=2,TRUE))</formula>
    </cfRule>
    <cfRule type="expression" dxfId="231" priority="339">
      <formula>AND(Q7=2,IF(COUNTIF(Q$7:Q$11,"=2")&gt;=2,TRUE))</formula>
    </cfRule>
    <cfRule type="expression" dxfId="230" priority="340">
      <formula>AND(Q7=1,IF(COUNTIF(Q$7:Q$11,"=1")&gt;=2,TRUE))</formula>
    </cfRule>
  </conditionalFormatting>
  <conditionalFormatting sqref="H7:H11 H123:H124">
    <cfRule type="expression" dxfId="229" priority="306">
      <formula>AND(Q7=4,IF(COUNTIF(Q$7:Q$11,"=4")&gt;=2,TRUE))</formula>
    </cfRule>
    <cfRule type="expression" dxfId="228" priority="422">
      <formula>AND(Q7=3,IF(COUNTIF(Q$7:Q$11,"=3")&gt;=2,TRUE))</formula>
    </cfRule>
    <cfRule type="expression" dxfId="227" priority="423">
      <formula>AND(Q7=2,IF(COUNTIF(Q$7:Q$11,"=2")&gt;=2,TRUE))</formula>
    </cfRule>
    <cfRule type="expression" dxfId="226" priority="424">
      <formula>AND(Q7=1,IF(COUNTIF(Q$7:Q$11,"=1")&gt;=2,TRUE))</formula>
    </cfRule>
  </conditionalFormatting>
  <conditionalFormatting sqref="K7:K11">
    <cfRule type="expression" dxfId="225" priority="425">
      <formula>AND(J7&gt;0,IF(COUNTIF(J$7:J$11,"=1")=2,TRUE),IF(COUNTIF(J$7:J$11,"=2")=2,TRUE))</formula>
    </cfRule>
    <cfRule type="expression" dxfId="224" priority="426">
      <formula>IF(COUNTIF(L$7:L$11,"=2")=2,TRUE)</formula>
    </cfRule>
    <cfRule type="expression" dxfId="223" priority="427">
      <formula>IF(COUNTIF(L$7:L$11,"=1")=2,TRUE)</formula>
    </cfRule>
    <cfRule type="expression" dxfId="222" priority="428">
      <formula>AND(IF(COUNTIF(R$7:R$11,"=1")=2,TRUE),IF(COUNTIF(S$7:S$11,"=2")=2,TRUE))</formula>
    </cfRule>
    <cfRule type="expression" dxfId="221" priority="429">
      <formula>AND(R7=4,IF(COUNTIF(R$7:R$11,"=4")=1,TRUE))</formula>
    </cfRule>
    <cfRule type="expression" dxfId="220" priority="430">
      <formula>AND(R7=3,IF(COUNTIF(R$7:R$11,"=3")=1,TRUE))</formula>
    </cfRule>
    <cfRule type="expression" dxfId="219" priority="431">
      <formula>AND(R7=2,IF(COUNTIF(R$7:R$11,"=2")=1,TRUE))</formula>
    </cfRule>
    <cfRule type="expression" dxfId="218" priority="432">
      <formula>AND(R7=1,IF(COUNTIF(R$7:R$11,"=1")=1,TRUE))</formula>
    </cfRule>
    <cfRule type="expression" dxfId="217" priority="433">
      <formula>OR(R7=0,R7=5)</formula>
    </cfRule>
  </conditionalFormatting>
  <conditionalFormatting sqref="L14:L18">
    <cfRule type="expression" dxfId="216" priority="311">
      <formula>K14=0</formula>
    </cfRule>
    <cfRule type="expression" dxfId="215" priority="320">
      <formula>IF(COUNTIF(J$14:J$18,"=2")=2,TRUE)</formula>
    </cfRule>
    <cfRule type="expression" dxfId="214" priority="321">
      <formula>IF(COUNTIF(J$14:J$18,"=1")=2,TRUE)</formula>
    </cfRule>
    <cfRule type="expression" dxfId="213" priority="322">
      <formula>AND(IF(COUNTIF(Q$14:Q$18,"=1")=2,TRUE),IF(COUNTIF(Q$14:Q$18,"=2")=2,TRUE))</formula>
    </cfRule>
    <cfRule type="expression" dxfId="212" priority="323">
      <formula>AND(Q14=4,IF(COUNTIF(Q$14:Q$18,"=4")=1,TRUE))</formula>
    </cfRule>
    <cfRule type="expression" dxfId="211" priority="324">
      <formula>AND(Q14=3,IF(COUNTIF(Q$14:Q$18,"=3")=1,TRUE))</formula>
    </cfRule>
    <cfRule type="expression" dxfId="210" priority="325">
      <formula>AND(Q14=2,IF(COUNTIF(Q$14:Q$18,"=2")=1,TRUE))</formula>
    </cfRule>
    <cfRule type="expression" dxfId="209" priority="326">
      <formula>AND(Q14=1,IF(COUNTIF(Q$14:Q$18,"=1")=1,TRUE))</formula>
    </cfRule>
    <cfRule type="expression" dxfId="208" priority="327">
      <formula>OR(Q14=0,Q14=5)</formula>
    </cfRule>
  </conditionalFormatting>
  <conditionalFormatting sqref="O14:O18">
    <cfRule type="expression" dxfId="207" priority="319">
      <formula>OR(AND(J14=1,K14=1,L14=0,M14=1),AND(J14=2,K14=2,L14=0,M14=2))</formula>
    </cfRule>
  </conditionalFormatting>
  <conditionalFormatting sqref="M14:M18">
    <cfRule type="expression" dxfId="206" priority="312">
      <formula>AND(L14&gt;0,IF(COUNTIF(L$14:L$18,L14)&gt;1,TRUE,FALSE))</formula>
    </cfRule>
    <cfRule type="expression" dxfId="205" priority="313">
      <formula>AND(IF(COUNTIF(R$14:R$18,"=1")=2,TRUE),IF(COUNTIF(R$14:R$18,"=2")=2,TRUE))</formula>
    </cfRule>
    <cfRule type="expression" dxfId="204" priority="314">
      <formula>AND(R14=4,IF(COUNTIF(R$14:R$18,"=4")=1,TRUE))</formula>
    </cfRule>
    <cfRule type="expression" dxfId="203" priority="315">
      <formula>AND(R14=3,IF(COUNTIF(R$14:R$18,"=3")=1,TRUE))</formula>
    </cfRule>
    <cfRule type="expression" dxfId="202" priority="316">
      <formula>AND(R14=2,IF(COUNTIF(R$14:R$18,"=2")=1,TRUE))</formula>
    </cfRule>
    <cfRule type="expression" dxfId="201" priority="317">
      <formula>AND(R14=1,IF(COUNTIF(R$14:R$18,"=1")=1,TRUE))</formula>
    </cfRule>
    <cfRule type="expression" dxfId="200" priority="318">
      <formula>OR(R14=0,R14=5)</formula>
    </cfRule>
  </conditionalFormatting>
  <conditionalFormatting sqref="J14:J18">
    <cfRule type="expression" dxfId="199" priority="307">
      <formula>AND(Q14=4,IF(COUNTIF(Q$14:Q$18,"=4")&gt;=2,TRUE))</formula>
    </cfRule>
    <cfRule type="expression" dxfId="198" priority="308">
      <formula>AND(Q14=3,IF(COUNTIF(Q$14:Q$18,"=3")&gt;=2,TRUE))</formula>
    </cfRule>
    <cfRule type="expression" dxfId="197" priority="309">
      <formula>AND(Q14=2,IF(COUNTIF(Q$14:Q$18,"=2")&gt;=2,TRUE))</formula>
    </cfRule>
    <cfRule type="expression" dxfId="196" priority="310">
      <formula>AND(Q14=1,IF(COUNTIF(Q$14:Q$18,"=1")&gt;=2,TRUE))</formula>
    </cfRule>
  </conditionalFormatting>
  <conditionalFormatting sqref="K14:K18">
    <cfRule type="expression" dxfId="195" priority="328">
      <formula>AND(J14&gt;0,IF(COUNTIF(J$14:J$18,"=1")=2,TRUE),IF(COUNTIF(J$14:J$18,"=2")=2,TRUE))</formula>
    </cfRule>
    <cfRule type="expression" dxfId="194" priority="329">
      <formula>IF(COUNTIF(L$14:L$18,"=2")=2,TRUE)</formula>
    </cfRule>
    <cfRule type="expression" dxfId="193" priority="330">
      <formula>IF(COUNTIF(L$14:L$18,"=1")=2,TRUE)</formula>
    </cfRule>
    <cfRule type="expression" dxfId="192" priority="331">
      <formula>AND(IF(COUNTIF(R$14:R$18,"=1")=2,TRUE),IF(COUNTIF(S$14:S$18,"=2")=2,TRUE))</formula>
    </cfRule>
    <cfRule type="expression" dxfId="191" priority="332">
      <formula>AND(R14=4,IF(COUNTIF(R$14:R$18,"=4")=1,TRUE))</formula>
    </cfRule>
    <cfRule type="expression" dxfId="190" priority="333">
      <formula>AND(R14=3,IF(COUNTIF(R$14:R$18,"=3")=1,TRUE))</formula>
    </cfRule>
    <cfRule type="expression" dxfId="189" priority="334">
      <formula>AND(R14=2,IF(COUNTIF(R$14:R$18,"=2")=1,TRUE))</formula>
    </cfRule>
    <cfRule type="expression" dxfId="188" priority="335">
      <formula>AND(R14=1,IF(COUNTIF(R$14:R$18,"=1")=1,TRUE))</formula>
    </cfRule>
    <cfRule type="expression" dxfId="187" priority="336">
      <formula>OR(R14=0,R14=5)</formula>
    </cfRule>
  </conditionalFormatting>
  <conditionalFormatting sqref="L21:L25">
    <cfRule type="expression" dxfId="186" priority="279">
      <formula>K21=0</formula>
    </cfRule>
    <cfRule type="expression" dxfId="185" priority="288">
      <formula>IF(COUNTIF(J$21:J$25,"=2")=2,TRUE)</formula>
    </cfRule>
    <cfRule type="expression" dxfId="184" priority="289">
      <formula>IF(COUNTIF(J$21:J$25,"=1")=2,TRUE)</formula>
    </cfRule>
    <cfRule type="expression" dxfId="183" priority="290">
      <formula>AND(IF(COUNTIF(Q$21:Q$25,"=1")=2,TRUE),IF(COUNTIF(Q$21:Q$25,"=2")=2,TRUE))</formula>
    </cfRule>
    <cfRule type="expression" dxfId="182" priority="291">
      <formula>AND(Q21=4,IF(COUNTIF(Q$21:Q$25,"=4")=1,TRUE))</formula>
    </cfRule>
    <cfRule type="expression" dxfId="181" priority="292">
      <formula>AND(Q21=3,IF(COUNTIF(Q$21:Q$25,"=3")=1,TRUE))</formula>
    </cfRule>
    <cfRule type="expression" dxfId="180" priority="293">
      <formula>AND(Q21=2,IF(COUNTIF(Q$21:Q$25,"=2")=1,TRUE))</formula>
    </cfRule>
    <cfRule type="expression" dxfId="179" priority="294">
      <formula>AND(Q21=1,IF(COUNTIF(Q$21:Q$25,"=1")=1,TRUE))</formula>
    </cfRule>
    <cfRule type="expression" dxfId="178" priority="295">
      <formula>OR(Q21=0,Q21=5)</formula>
    </cfRule>
  </conditionalFormatting>
  <conditionalFormatting sqref="O21:O25">
    <cfRule type="expression" dxfId="177" priority="287">
      <formula>OR(AND(J21=1,K21=1,L21=0,M21=1),AND(J21=2,K21=2,L21=0,M21=2))</formula>
    </cfRule>
  </conditionalFormatting>
  <conditionalFormatting sqref="M21:M25">
    <cfRule type="expression" dxfId="176" priority="280">
      <formula>AND(L21&gt;0,IF(COUNTIF(L$21:L$25,L21)&gt;1,TRUE,FALSE))</formula>
    </cfRule>
    <cfRule type="expression" dxfId="175" priority="281">
      <formula>AND(IF(COUNTIF(R$21:R$25,"=1")=2,TRUE),IF(COUNTIF(R$21:R$25,"=2")=2,TRUE))</formula>
    </cfRule>
    <cfRule type="expression" dxfId="174" priority="282">
      <formula>AND(R21=4,IF(COUNTIF(R$21:R$25,"=4")=1,TRUE))</formula>
    </cfRule>
    <cfRule type="expression" dxfId="173" priority="283">
      <formula>AND(R21=3,IF(COUNTIF(R$21:R$25,"=3")=1,TRUE))</formula>
    </cfRule>
    <cfRule type="expression" dxfId="172" priority="284">
      <formula>AND(R21=2,IF(COUNTIF(R$21:R$25,"=2")=1,TRUE))</formula>
    </cfRule>
    <cfRule type="expression" dxfId="171" priority="285">
      <formula>AND(R21=1,IF(COUNTIF(R$21:R$25,"=1")=1,TRUE))</formula>
    </cfRule>
    <cfRule type="expression" dxfId="170" priority="286">
      <formula>OR(R21=0,R21=5)</formula>
    </cfRule>
  </conditionalFormatting>
  <conditionalFormatting sqref="J21:J25">
    <cfRule type="expression" dxfId="169" priority="275">
      <formula>AND(Q21=4,IF(COUNTIF(Q$21:Q$25,"=4")&gt;=2,TRUE))</formula>
    </cfRule>
    <cfRule type="expression" dxfId="168" priority="276">
      <formula>AND(Q21=3,IF(COUNTIF(Q$21:Q$25,"=3")&gt;=2,TRUE))</formula>
    </cfRule>
    <cfRule type="expression" dxfId="167" priority="277">
      <formula>AND(Q21=2,IF(COUNTIF(Q$21:Q$25,"=2")&gt;=2,TRUE))</formula>
    </cfRule>
    <cfRule type="expression" dxfId="166" priority="278">
      <formula>AND(Q21=1,IF(COUNTIF(Q$21:Q$25,"=1")&gt;=2,TRUE))</formula>
    </cfRule>
  </conditionalFormatting>
  <conditionalFormatting sqref="K21:K25">
    <cfRule type="expression" dxfId="165" priority="296">
      <formula>AND(J21&gt;0,IF(COUNTIF(J$21:J$25,"=1")=2,TRUE),IF(COUNTIF(J$21:J$25,"=2")=2,TRUE))</formula>
    </cfRule>
    <cfRule type="expression" dxfId="164" priority="297">
      <formula>IF(COUNTIF(L$21:L$25,"=2")=2,TRUE)</formula>
    </cfRule>
    <cfRule type="expression" dxfId="163" priority="298">
      <formula>IF(COUNTIF(L$21:L$25,"=1")=2,TRUE)</formula>
    </cfRule>
    <cfRule type="expression" dxfId="162" priority="299">
      <formula>AND(IF(COUNTIF(R$21:R$25,"=1")=2,TRUE),IF(COUNTIF(S$21:S$25,"=2")=2,TRUE))</formula>
    </cfRule>
    <cfRule type="expression" dxfId="161" priority="300">
      <formula>AND(R21=4,IF(COUNTIF(R$21:R$25,"=4")=1,TRUE))</formula>
    </cfRule>
    <cfRule type="expression" dxfId="160" priority="301">
      <formula>AND(R21=3,IF(COUNTIF(R$21:R$25,"=3")=1,TRUE))</formula>
    </cfRule>
    <cfRule type="expression" dxfId="159" priority="302">
      <formula>AND(R21=2,IF(COUNTIF(R$21:R$25,"=2")=1,TRUE))</formula>
    </cfRule>
    <cfRule type="expression" dxfId="158" priority="303">
      <formula>AND(R21=1,IF(COUNTIF(R$21:R$25,"=1")=1,TRUE))</formula>
    </cfRule>
    <cfRule type="expression" dxfId="157" priority="304">
      <formula>OR(R21=0,R21=5)</formula>
    </cfRule>
  </conditionalFormatting>
  <conditionalFormatting sqref="H21:H25">
    <cfRule type="expression" dxfId="156" priority="271">
      <formula>AND(Q21=4,IF(COUNTIF(Q$21:Q$25,"=4")&gt;=2,TRUE))</formula>
    </cfRule>
    <cfRule type="expression" dxfId="155" priority="272">
      <formula>AND(Q21=3,IF(COUNTIF(Q$21:Q$25,"=3")&gt;=2,TRUE))</formula>
    </cfRule>
    <cfRule type="expression" dxfId="154" priority="273">
      <formula>AND(Q21=2,IF(COUNTIF(Q$21:Q$25,"=2")&gt;=2,TRUE))</formula>
    </cfRule>
    <cfRule type="expression" dxfId="153" priority="274">
      <formula>AND(Q21=1,IF(COUNTIF(Q$21:Q$25,"=1")&gt;=2,TRUE))</formula>
    </cfRule>
  </conditionalFormatting>
  <conditionalFormatting sqref="L28:L32">
    <cfRule type="expression" dxfId="152" priority="245">
      <formula>K28=0</formula>
    </cfRule>
    <cfRule type="expression" dxfId="151" priority="254">
      <formula>IF(COUNTIF(J$28:J$32,"=2")=2,TRUE)</formula>
    </cfRule>
    <cfRule type="expression" dxfId="150" priority="255">
      <formula>IF(COUNTIF(J$28:J$32,"=1")=2,TRUE)</formula>
    </cfRule>
    <cfRule type="expression" dxfId="149" priority="256">
      <formula>AND(IF(COUNTIF(Q$28:Q$32,"=1")=2,TRUE),IF(COUNTIF(Q$28:Q$32,"=2")=2,TRUE))</formula>
    </cfRule>
    <cfRule type="expression" dxfId="148" priority="257">
      <formula>AND(Q28=4,IF(COUNTIF(Q$28:Q$32,"=4")=1,TRUE))</formula>
    </cfRule>
    <cfRule type="expression" dxfId="147" priority="258">
      <formula>AND(Q28=3,IF(COUNTIF(Q$28:Q$32,"=3")=1,TRUE))</formula>
    </cfRule>
    <cfRule type="expression" dxfId="146" priority="259">
      <formula>AND(Q28=2,IF(COUNTIF(Q$28:Q$32,"=2")=1,TRUE))</formula>
    </cfRule>
    <cfRule type="expression" dxfId="145" priority="260">
      <formula>AND(Q28=1,IF(COUNTIF(Q$28:Q$32,"=1")=1,TRUE))</formula>
    </cfRule>
    <cfRule type="expression" dxfId="144" priority="261">
      <formula>OR(Q28=0,Q28=5)</formula>
    </cfRule>
  </conditionalFormatting>
  <conditionalFormatting sqref="O28:O32">
    <cfRule type="expression" dxfId="143" priority="253">
      <formula>OR(AND(J28=1,K28=1,L28=0,M28=1),AND(J28=2,K28=2,L28=0,M28=2))</formula>
    </cfRule>
  </conditionalFormatting>
  <conditionalFormatting sqref="M28:M32">
    <cfRule type="expression" dxfId="142" priority="246">
      <formula>AND(L28&gt;0,IF(COUNTIF(L$28:L$32,L28)&gt;1,TRUE,FALSE))</formula>
    </cfRule>
    <cfRule type="expression" dxfId="141" priority="247">
      <formula>AND(IF(COUNTIF(R$28:R$32,"=1")=2,TRUE),IF(COUNTIF(R$28:R$32,"=2")=2,TRUE))</formula>
    </cfRule>
    <cfRule type="expression" dxfId="140" priority="248">
      <formula>AND(R28=4,IF(COUNTIF(R$28:R$32,"=4")=1,TRUE))</formula>
    </cfRule>
    <cfRule type="expression" dxfId="139" priority="249">
      <formula>AND(R28=3,IF(COUNTIF(R$28:R$32,"=3")=1,TRUE))</formula>
    </cfRule>
    <cfRule type="expression" dxfId="138" priority="250">
      <formula>AND(R28=2,IF(COUNTIF(R$28:R$32,"=2")=1,TRUE))</formula>
    </cfRule>
    <cfRule type="expression" dxfId="137" priority="251">
      <formula>AND(R28=1,IF(COUNTIF(R$28:R$32,"=1")=1,TRUE))</formula>
    </cfRule>
    <cfRule type="expression" dxfId="136" priority="252">
      <formula>OR(R28=0,R28=5)</formula>
    </cfRule>
  </conditionalFormatting>
  <conditionalFormatting sqref="J28:J32">
    <cfRule type="expression" dxfId="135" priority="241">
      <formula>AND(Q28=4,IF(COUNTIF(Q$28:Q$32,"=4")&gt;=2,TRUE))</formula>
    </cfRule>
    <cfRule type="expression" dxfId="134" priority="242">
      <formula>AND(Q28=3,IF(COUNTIF(Q$28:Q$32,"=3")&gt;=2,TRUE))</formula>
    </cfRule>
    <cfRule type="expression" dxfId="133" priority="243">
      <formula>AND(Q28=2,IF(COUNTIF(Q$28:Q$32,"=2")&gt;=2,TRUE))</formula>
    </cfRule>
    <cfRule type="expression" dxfId="132" priority="244">
      <formula>AND(Q28=1,IF(COUNTIF(Q$28:Q$32,"=1")&gt;=2,TRUE))</formula>
    </cfRule>
  </conditionalFormatting>
  <conditionalFormatting sqref="K28:K32">
    <cfRule type="expression" dxfId="131" priority="262">
      <formula>AND(J28&gt;0,IF(COUNTIF(J$28:J$32,"=1")=2,TRUE),IF(COUNTIF(J$28:J$32,"=2")=2,TRUE))</formula>
    </cfRule>
    <cfRule type="expression" dxfId="130" priority="263">
      <formula>IF(COUNTIF(L$28:L$32,"=2")=2,TRUE)</formula>
    </cfRule>
    <cfRule type="expression" dxfId="129" priority="264">
      <formula>IF(COUNTIF(L$28:L$32,"=1")=2,TRUE)</formula>
    </cfRule>
    <cfRule type="expression" dxfId="128" priority="265">
      <formula>AND(IF(COUNTIF(R$28:R$32,"=1")=2,TRUE),IF(COUNTIF(S$28:S$32,"=2")=2,TRUE))</formula>
    </cfRule>
    <cfRule type="expression" dxfId="127" priority="266">
      <formula>AND(R28=4,IF(COUNTIF(R$28:R$32,"=4")=1,TRUE))</formula>
    </cfRule>
    <cfRule type="expression" dxfId="126" priority="267">
      <formula>AND(R28=3,IF(COUNTIF(R$28:R$32,"=3")=1,TRUE))</formula>
    </cfRule>
    <cfRule type="expression" dxfId="125" priority="268">
      <formula>AND(R28=2,IF(COUNTIF(R$28:R$32,"=2")=1,TRUE))</formula>
    </cfRule>
    <cfRule type="expression" dxfId="124" priority="269">
      <formula>AND(R28=1,IF(COUNTIF(R$28:R$32,"=1")=1,TRUE))</formula>
    </cfRule>
    <cfRule type="expression" dxfId="123" priority="270">
      <formula>OR(R28=0,R28=5)</formula>
    </cfRule>
  </conditionalFormatting>
  <conditionalFormatting sqref="H28:H32">
    <cfRule type="expression" dxfId="122" priority="237">
      <formula>AND(Q28=4,IF(COUNTIF(Q$28:Q$32,"=4")&gt;=2,TRUE))</formula>
    </cfRule>
    <cfRule type="expression" dxfId="121" priority="238">
      <formula>AND(Q28=3,IF(COUNTIF(Q$28:Q$32,"=3")&gt;=2,TRUE))</formula>
    </cfRule>
    <cfRule type="expression" dxfId="120" priority="239">
      <formula>AND(Q28=2,IF(COUNTIF(Q$28:Q$32,"=2")&gt;=2,TRUE))</formula>
    </cfRule>
    <cfRule type="expression" dxfId="119" priority="240">
      <formula>AND(Q28=1,IF(COUNTIF(Q$28:Q$32,"=1")&gt;=2,TRUE))</formula>
    </cfRule>
  </conditionalFormatting>
  <conditionalFormatting sqref="L35:L39">
    <cfRule type="expression" dxfId="118" priority="211">
      <formula>K35=0</formula>
    </cfRule>
    <cfRule type="expression" dxfId="117" priority="220">
      <formula>IF(COUNTIF(J$35:J$39,"=2")=2,TRUE)</formula>
    </cfRule>
    <cfRule type="expression" dxfId="116" priority="221">
      <formula>IF(COUNTIF(J$35:J$39,"=1")=2,TRUE)</formula>
    </cfRule>
    <cfRule type="expression" dxfId="115" priority="222">
      <formula>AND(IF(COUNTIF(Q$35:Q$39,"=1")=2,TRUE),IF(COUNTIF(Q$35:Q$39,"=2")=2,TRUE))</formula>
    </cfRule>
    <cfRule type="expression" dxfId="114" priority="223">
      <formula>AND(Q35=4,IF(COUNTIF(Q$35:Q$39,"=4")=1,TRUE))</formula>
    </cfRule>
    <cfRule type="expression" dxfId="113" priority="224">
      <formula>AND(Q35=3,IF(COUNTIF(Q$35:Q$39,"=3")=1,TRUE))</formula>
    </cfRule>
    <cfRule type="expression" dxfId="112" priority="225">
      <formula>AND(Q35=2,IF(COUNTIF(Q$35:Q$39,"=2")=1,TRUE))</formula>
    </cfRule>
    <cfRule type="expression" dxfId="111" priority="226">
      <formula>AND(Q35=1,IF(COUNTIF(Q$35:Q$39,"=1")=1,TRUE))</formula>
    </cfRule>
    <cfRule type="expression" dxfId="110" priority="227">
      <formula>OR(Q35=0,Q35=5)</formula>
    </cfRule>
  </conditionalFormatting>
  <conditionalFormatting sqref="O35:O39">
    <cfRule type="expression" dxfId="109" priority="219">
      <formula>OR(AND(J35=1,K35=1,L35=0,M35=1),AND(J35=2,K35=2,L35=0,M35=2))</formula>
    </cfRule>
  </conditionalFormatting>
  <conditionalFormatting sqref="M35:M39">
    <cfRule type="expression" dxfId="108" priority="212">
      <formula>AND(L35&gt;0,IF(COUNTIF(L$35:L$39,L35)&gt;1,TRUE,FALSE))</formula>
    </cfRule>
    <cfRule type="expression" dxfId="107" priority="213">
      <formula>AND(IF(COUNTIF(R$35:R$39,"=1")=2,TRUE),IF(COUNTIF(R$35:R$39,"=2")=2,TRUE))</formula>
    </cfRule>
    <cfRule type="expression" dxfId="106" priority="214">
      <formula>AND(R35=4,IF(COUNTIF(R$35:R$39,"=4")=1,TRUE))</formula>
    </cfRule>
    <cfRule type="expression" dxfId="105" priority="215">
      <formula>AND(R35=3,IF(COUNTIF(R$35:R$39,"=3")=1,TRUE))</formula>
    </cfRule>
    <cfRule type="expression" dxfId="104" priority="216">
      <formula>AND(R35=2,IF(COUNTIF(R$35:R$39,"=2")=1,TRUE))</formula>
    </cfRule>
    <cfRule type="expression" dxfId="103" priority="217">
      <formula>AND(R35=1,IF(COUNTIF(R$35:R$39,"=1")=1,TRUE))</formula>
    </cfRule>
    <cfRule type="expression" dxfId="102" priority="218">
      <formula>OR(R35=0,R35=5)</formula>
    </cfRule>
  </conditionalFormatting>
  <conditionalFormatting sqref="J35:J39">
    <cfRule type="expression" dxfId="101" priority="207">
      <formula>AND(Q35=4,IF(COUNTIF(Q$35:Q$39,"=4")&gt;=2,TRUE))</formula>
    </cfRule>
    <cfRule type="expression" dxfId="100" priority="208">
      <formula>AND(Q35=3,IF(COUNTIF(Q$35:Q$39,"=3")&gt;=2,TRUE))</formula>
    </cfRule>
    <cfRule type="expression" dxfId="99" priority="209">
      <formula>AND(Q35=2,IF(COUNTIF(Q$35:Q$39,"=2")&gt;=2,TRUE))</formula>
    </cfRule>
    <cfRule type="expression" dxfId="98" priority="210">
      <formula>AND(Q35=1,IF(COUNTIF(Q$35:Q$39,"=1")&gt;=2,TRUE))</formula>
    </cfRule>
  </conditionalFormatting>
  <conditionalFormatting sqref="K35:K39">
    <cfRule type="expression" dxfId="97" priority="228">
      <formula>AND(J35&gt;0,IF(COUNTIF(J$35:J$39,"=1")=2,TRUE),IF(COUNTIF(J$35:J$39,"=2")=2,TRUE))</formula>
    </cfRule>
    <cfRule type="expression" dxfId="96" priority="229">
      <formula>IF(COUNTIF(L$35:L$39,"=2")=2,TRUE)</formula>
    </cfRule>
    <cfRule type="expression" dxfId="95" priority="230">
      <formula>IF(COUNTIF(L$35:L$39,"=1")=2,TRUE)</formula>
    </cfRule>
    <cfRule type="expression" dxfId="94" priority="231">
      <formula>AND(IF(COUNTIF(R$35:R$39,"=1")=2,TRUE),IF(COUNTIF(S$35:S$39,"=2")=2,TRUE))</formula>
    </cfRule>
    <cfRule type="expression" dxfId="93" priority="232">
      <formula>AND(R35=4,IF(COUNTIF(R$35:R$39,"=4")=1,TRUE))</formula>
    </cfRule>
    <cfRule type="expression" dxfId="92" priority="233">
      <formula>AND(R35=3,IF(COUNTIF(R$35:R$39,"=3")=1,TRUE))</formula>
    </cfRule>
    <cfRule type="expression" dxfId="91" priority="234">
      <formula>AND(R35=2,IF(COUNTIF(R$35:R$39,"=2")=1,TRUE))</formula>
    </cfRule>
    <cfRule type="expression" dxfId="90" priority="235">
      <formula>AND(R35=1,IF(COUNTIF(R$35:R$39,"=1")=1,TRUE))</formula>
    </cfRule>
    <cfRule type="expression" dxfId="89" priority="236">
      <formula>OR(R35=0,R35=5)</formula>
    </cfRule>
  </conditionalFormatting>
  <conditionalFormatting sqref="H35:H39">
    <cfRule type="expression" dxfId="88" priority="203">
      <formula>AND(Q35=4,IF(COUNTIF(Q$35:Q$39,"=4")&gt;=2,TRUE))</formula>
    </cfRule>
    <cfRule type="expression" dxfId="87" priority="204">
      <formula>AND(Q35=3,IF(COUNTIF(Q$35:Q$39,"=3")&gt;=2,TRUE))</formula>
    </cfRule>
    <cfRule type="expression" dxfId="86" priority="205">
      <formula>AND(Q35=2,IF(COUNTIF(Q$35:Q$39,"=2")&gt;=2,TRUE))</formula>
    </cfRule>
    <cfRule type="expression" dxfId="85" priority="206">
      <formula>AND(Q35=1,IF(COUNTIF(Q$35:Q$39,"=1")&gt;=2,TRUE))</formula>
    </cfRule>
  </conditionalFormatting>
  <conditionalFormatting sqref="L42:L46">
    <cfRule type="expression" dxfId="84" priority="177">
      <formula>K42=0</formula>
    </cfRule>
    <cfRule type="expression" dxfId="83" priority="186">
      <formula>IF(COUNTIF(J$42:J$46,"=2")=2,TRUE)</formula>
    </cfRule>
    <cfRule type="expression" dxfId="82" priority="187">
      <formula>IF(COUNTIF(J$42:J$46,"=1")=2,TRUE)</formula>
    </cfRule>
    <cfRule type="expression" dxfId="81" priority="188">
      <formula>AND(IF(COUNTIF(Q$42:Q$46,"=1")=2,TRUE),IF(COUNTIF(Q$42:Q$46,"=2")=2,TRUE))</formula>
    </cfRule>
    <cfRule type="expression" dxfId="80" priority="189">
      <formula>AND(Q42=4,IF(COUNTIF(Q$42:Q$46,"=4")=1,TRUE))</formula>
    </cfRule>
    <cfRule type="expression" dxfId="79" priority="190">
      <formula>AND(Q42=3,IF(COUNTIF(Q$42:Q$46,"=3")=1,TRUE))</formula>
    </cfRule>
    <cfRule type="expression" dxfId="78" priority="191">
      <formula>AND(Q42=2,IF(COUNTIF(Q$42:Q$46,"=2")=1,TRUE))</formula>
    </cfRule>
    <cfRule type="expression" dxfId="77" priority="192">
      <formula>AND(Q42=1,IF(COUNTIF(Q$42:Q$46,"=1")=1,TRUE))</formula>
    </cfRule>
    <cfRule type="expression" dxfId="76" priority="193">
      <formula>OR(Q42=0,Q42=5)</formula>
    </cfRule>
  </conditionalFormatting>
  <conditionalFormatting sqref="O42:O46">
    <cfRule type="expression" dxfId="75" priority="185">
      <formula>OR(AND(J42=1,K42=1,L42=0,M42=1),AND(J42=2,K42=2,L42=0,M42=2))</formula>
    </cfRule>
  </conditionalFormatting>
  <conditionalFormatting sqref="M42:M46">
    <cfRule type="expression" dxfId="74" priority="178">
      <formula>AND(L42&gt;0,IF(COUNTIF(L$42:L$46,L42)&gt;1,TRUE,FALSE))</formula>
    </cfRule>
    <cfRule type="expression" dxfId="73" priority="179">
      <formula>AND(IF(COUNTIF(R$42:R$46,"=1")=2,TRUE),IF(COUNTIF(R$42:R$46,"=2")=2,TRUE))</formula>
    </cfRule>
    <cfRule type="expression" dxfId="72" priority="180">
      <formula>AND(R42=4,IF(COUNTIF(R$42:R$46,"=4")=1,TRUE))</formula>
    </cfRule>
    <cfRule type="expression" dxfId="71" priority="181">
      <formula>AND(R42=3,IF(COUNTIF(R$42:R$46,"=3")=1,TRUE))</formula>
    </cfRule>
    <cfRule type="expression" dxfId="70" priority="182">
      <formula>AND(R42=2,IF(COUNTIF(R$42:R$46,"=2")=1,TRUE))</formula>
    </cfRule>
    <cfRule type="expression" dxfId="69" priority="183">
      <formula>AND(R42=1,IF(COUNTIF(R$42:R$46,"=1")=1,TRUE))</formula>
    </cfRule>
    <cfRule type="expression" dxfId="68" priority="184">
      <formula>OR(R42=0,R42=5)</formula>
    </cfRule>
  </conditionalFormatting>
  <conditionalFormatting sqref="J42:J46">
    <cfRule type="expression" dxfId="67" priority="173">
      <formula>AND(Q42=4,IF(COUNTIF(Q$42:Q$46,"=4")&gt;=2,TRUE))</formula>
    </cfRule>
    <cfRule type="expression" dxfId="66" priority="174">
      <formula>AND(Q42=3,IF(COUNTIF(Q$42:Q$46,"=3")&gt;=2,TRUE))</formula>
    </cfRule>
    <cfRule type="expression" dxfId="65" priority="175">
      <formula>AND(Q42=2,IF(COUNTIF(Q$42:Q$46,"=2")&gt;=2,TRUE))</formula>
    </cfRule>
    <cfRule type="expression" dxfId="64" priority="176">
      <formula>AND(Q42=1,IF(COUNTIF(Q$42:Q$46,"=1")&gt;=2,TRUE))</formula>
    </cfRule>
  </conditionalFormatting>
  <conditionalFormatting sqref="K42:K46">
    <cfRule type="expression" dxfId="63" priority="194">
      <formula>AND(J42&gt;0,IF(COUNTIF(J$42:J$46,"=1")=2,TRUE),IF(COUNTIF(J$42:J$46,"=2")=2,TRUE))</formula>
    </cfRule>
    <cfRule type="expression" dxfId="62" priority="195">
      <formula>IF(COUNTIF(L$42:L$46,"=2")=2,TRUE)</formula>
    </cfRule>
    <cfRule type="expression" dxfId="61" priority="196">
      <formula>IF(COUNTIF(L$42:L$46,"=1")=2,TRUE)</formula>
    </cfRule>
    <cfRule type="expression" dxfId="60" priority="197">
      <formula>AND(IF(COUNTIF(R$42:R$46,"=1")=2,TRUE),IF(COUNTIF(S$42:S$46,"=2")=2,TRUE))</formula>
    </cfRule>
    <cfRule type="expression" dxfId="59" priority="198">
      <formula>AND(R42=4,IF(COUNTIF(R$42:R$46,"=4")=1,TRUE))</formula>
    </cfRule>
    <cfRule type="expression" dxfId="58" priority="199">
      <formula>AND(R42=3,IF(COUNTIF(R$42:R$46,"=3")=1,TRUE))</formula>
    </cfRule>
    <cfRule type="expression" dxfId="57" priority="200">
      <formula>AND(R42=2,IF(COUNTIF(R$42:R$46,"=2")=1,TRUE))</formula>
    </cfRule>
    <cfRule type="expression" dxfId="56" priority="201">
      <formula>AND(R42=1,IF(COUNTIF(R$42:R$46,"=1")=1,TRUE))</formula>
    </cfRule>
    <cfRule type="expression" dxfId="55" priority="202">
      <formula>OR(R42=0,R42=5)</formula>
    </cfRule>
  </conditionalFormatting>
  <conditionalFormatting sqref="H42:H46">
    <cfRule type="expression" dxfId="54" priority="169">
      <formula>AND(Q42=4,IF(COUNTIF(Q$42:Q$46,"=4")&gt;=2,TRUE))</formula>
    </cfRule>
    <cfRule type="expression" dxfId="53" priority="170">
      <formula>AND(Q42=3,IF(COUNTIF(Q$42:Q$46,"=3")&gt;=2,TRUE))</formula>
    </cfRule>
    <cfRule type="expression" dxfId="52" priority="171">
      <formula>AND(Q42=2,IF(COUNTIF(Q$42:Q$46,"=2")&gt;=2,TRUE))</formula>
    </cfRule>
    <cfRule type="expression" dxfId="51" priority="172">
      <formula>AND(Q42=1,IF(COUNTIF(Q$42:Q$46,"=1")&gt;=2,TRUE))</formula>
    </cfRule>
  </conditionalFormatting>
  <conditionalFormatting sqref="AJ7:AJ44">
    <cfRule type="expression" dxfId="50" priority="72">
      <formula>AND(AI7="",FIND(",",AJ7))</formula>
    </cfRule>
    <cfRule type="expression" dxfId="49" priority="74">
      <formula>AND(AI7="",COUNTIF(AJ7,"*,*")=0)</formula>
    </cfRule>
  </conditionalFormatting>
  <conditionalFormatting sqref="AH7:AH44">
    <cfRule type="expression" dxfId="48" priority="75">
      <formula>AND(AG7="",FIND(",",AH7))</formula>
    </cfRule>
    <cfRule type="expression" dxfId="47" priority="76">
      <formula>AND(AG7="",COUNTIF(AH7,"*,*")=0)</formula>
    </cfRule>
  </conditionalFormatting>
  <conditionalFormatting sqref="AL7:AL44">
    <cfRule type="expression" dxfId="46" priority="77">
      <formula>AND(AK7="",FIND(",",AL7))</formula>
    </cfRule>
    <cfRule type="expression" dxfId="45" priority="78">
      <formula>AND(AK7="",COUNTIF(AL7,"*,*")=0)</formula>
    </cfRule>
  </conditionalFormatting>
  <conditionalFormatting sqref="AF7:AF44">
    <cfRule type="expression" dxfId="44" priority="73">
      <formula>AND(AE7="",COUNTIF(AF7,"*,*")=0)</formula>
    </cfRule>
  </conditionalFormatting>
  <conditionalFormatting sqref="AN7:AN44">
    <cfRule type="expression" dxfId="43" priority="69">
      <formula>AND(AM7="",COUNTIF(AN7,"*,*")=0)</formula>
    </cfRule>
    <cfRule type="expression" dxfId="42" priority="71">
      <formula>AND(AM7="",FIND(",",AN7))</formula>
    </cfRule>
  </conditionalFormatting>
  <conditionalFormatting sqref="AP7:AP44">
    <cfRule type="expression" dxfId="41" priority="68">
      <formula>AND(AO7="",COUNTIF(AP7,"*,*")=0)</formula>
    </cfRule>
    <cfRule type="expression" dxfId="40" priority="70">
      <formula>AND(AO7="",FIND(",",AP7))</formula>
    </cfRule>
  </conditionalFormatting>
  <conditionalFormatting sqref="I28:I32 I123:I124 G120:G122">
    <cfRule type="expression" dxfId="39" priority="62">
      <formula>FIND(2,G28,1)</formula>
    </cfRule>
    <cfRule type="expression" dxfId="38" priority="63">
      <formula>FIND(1,G28,1)</formula>
    </cfRule>
  </conditionalFormatting>
  <conditionalFormatting sqref="I21:I25">
    <cfRule type="expression" dxfId="37" priority="64">
      <formula>FIND(2,I21,1)</formula>
    </cfRule>
    <cfRule type="expression" dxfId="36" priority="65">
      <formula>FIND(1,I21,1)</formula>
    </cfRule>
  </conditionalFormatting>
  <conditionalFormatting sqref="I7:I11">
    <cfRule type="expression" dxfId="35" priority="66">
      <formula>FIND(2,I7,1)</formula>
    </cfRule>
    <cfRule type="expression" dxfId="34" priority="67">
      <formula>FIND(1,I7,1)</formula>
    </cfRule>
  </conditionalFormatting>
  <conditionalFormatting sqref="I35:I39">
    <cfRule type="expression" dxfId="33" priority="60">
      <formula>FIND(2,I35,1)</formula>
    </cfRule>
    <cfRule type="expression" dxfId="32" priority="61">
      <formula>FIND(1,I35,1)</formula>
    </cfRule>
  </conditionalFormatting>
  <conditionalFormatting sqref="I42:I46">
    <cfRule type="expression" dxfId="31" priority="58">
      <formula>FIND(2,I42,1)</formula>
    </cfRule>
    <cfRule type="expression" dxfId="30" priority="59">
      <formula>FIND(1,I42,1)</formula>
    </cfRule>
  </conditionalFormatting>
  <conditionalFormatting sqref="I14:I18">
    <cfRule type="expression" dxfId="29" priority="56">
      <formula>FIND(2,I14,1)</formula>
    </cfRule>
    <cfRule type="expression" dxfId="28" priority="57">
      <formula>FIND(1,I14,1)</formula>
    </cfRule>
  </conditionalFormatting>
  <conditionalFormatting sqref="B300:B306">
    <cfRule type="expression" dxfId="27" priority="434">
      <formula>A300=3</formula>
    </cfRule>
    <cfRule type="expression" dxfId="26" priority="435">
      <formula>A300=2</formula>
    </cfRule>
    <cfRule type="expression" dxfId="25" priority="436">
      <formula>A300=1</formula>
    </cfRule>
    <cfRule type="containsBlanks" dxfId="24" priority="437">
      <formula>LEN(TRIM(B300))=0</formula>
    </cfRule>
    <cfRule type="duplicateValues" dxfId="23" priority="438"/>
  </conditionalFormatting>
  <conditionalFormatting sqref="G103 G107">
    <cfRule type="containsBlanks" dxfId="22" priority="54">
      <formula>LEN(TRIM(G103))=0</formula>
    </cfRule>
    <cfRule type="aboveAverage" dxfId="21" priority="55"/>
  </conditionalFormatting>
  <conditionalFormatting sqref="E102 E104">
    <cfRule type="aboveAverage" dxfId="20" priority="53"/>
  </conditionalFormatting>
  <conditionalFormatting sqref="E102 E104">
    <cfRule type="containsBlanks" dxfId="19" priority="52">
      <formula>LEN(TRIM(E102))=0</formula>
    </cfRule>
  </conditionalFormatting>
  <conditionalFormatting sqref="E106 E108">
    <cfRule type="aboveAverage" dxfId="18" priority="51"/>
  </conditionalFormatting>
  <conditionalFormatting sqref="E106 E108">
    <cfRule type="containsBlanks" dxfId="17" priority="50">
      <formula>LEN(TRIM(E106))=0</formula>
    </cfRule>
  </conditionalFormatting>
  <conditionalFormatting sqref="G110 G112">
    <cfRule type="aboveAverage" dxfId="16" priority="49"/>
  </conditionalFormatting>
  <conditionalFormatting sqref="G110 G112">
    <cfRule type="containsBlanks" dxfId="15" priority="48">
      <formula>LEN(TRIM(G110))=0</formula>
    </cfRule>
  </conditionalFormatting>
  <conditionalFormatting sqref="D120 C121">
    <cfRule type="aboveAverage" dxfId="14" priority="35"/>
  </conditionalFormatting>
  <conditionalFormatting sqref="E120 C122">
    <cfRule type="aboveAverage" dxfId="13" priority="34"/>
  </conditionalFormatting>
  <conditionalFormatting sqref="C123">
    <cfRule type="aboveAverage" dxfId="12" priority="33"/>
  </conditionalFormatting>
  <conditionalFormatting sqref="E121 D122">
    <cfRule type="aboveAverage" dxfId="11" priority="32"/>
  </conditionalFormatting>
  <conditionalFormatting sqref="C124">
    <cfRule type="aboveAverage" dxfId="10" priority="31"/>
  </conditionalFormatting>
  <conditionalFormatting sqref="D123">
    <cfRule type="aboveAverage" dxfId="9" priority="30"/>
  </conditionalFormatting>
  <conditionalFormatting sqref="D124">
    <cfRule type="aboveAverage" dxfId="8" priority="29"/>
  </conditionalFormatting>
  <conditionalFormatting sqref="E123">
    <cfRule type="aboveAverage" dxfId="7" priority="28"/>
  </conditionalFormatting>
  <conditionalFormatting sqref="E124">
    <cfRule type="aboveAverage" dxfId="6" priority="27"/>
  </conditionalFormatting>
  <conditionalFormatting sqref="F124 G123">
    <cfRule type="aboveAverage" dxfId="5" priority="26"/>
  </conditionalFormatting>
  <conditionalFormatting sqref="B120:B124">
    <cfRule type="duplicateValues" dxfId="4" priority="25"/>
  </conditionalFormatting>
  <conditionalFormatting sqref="F120:F122">
    <cfRule type="expression" dxfId="3" priority="1225">
      <formula>AND(Q120=4,IF(COUNTIF(Q$7:Q$11,"=4")&gt;=2,TRUE))</formula>
    </cfRule>
    <cfRule type="expression" dxfId="2" priority="1226">
      <formula>AND(Q120=3,IF(COUNTIF(Q$7:Q$11,"=3")&gt;=2,TRUE))</formula>
    </cfRule>
    <cfRule type="expression" dxfId="1" priority="1227">
      <formula>AND(Q120=2,IF(COUNTIF(Q$7:Q$11,"=2")&gt;=2,TRUE))</formula>
    </cfRule>
    <cfRule type="expression" dxfId="0" priority="1228">
      <formula>AND(Q120=1,IF(COUNTIF(Q$7:Q$11,"=1")&gt;=2,TRUE))</formula>
    </cfRule>
  </conditionalFormatting>
  <pageMargins left="0.78740157480314965" right="0.39370078740157483" top="0.78740157480314965" bottom="0.39370078740157483" header="0.78740157480314965" footer="0"/>
  <pageSetup paperSize="9" scale="97" fitToHeight="0" orientation="landscape" verticalDpi="1200" r:id="rId1"/>
  <headerFooter>
    <oddHeader>&amp;R&amp;P. leht &amp;N&amp; -st</oddHeader>
  </headerFooter>
  <rowBreaks count="1" manualBreakCount="1">
    <brk id="115" max="16383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H1" sqref="H1"/>
    </sheetView>
  </sheetViews>
  <sheetFormatPr defaultRowHeight="12.75" x14ac:dyDescent="0.2"/>
  <cols>
    <col min="1" max="16384" width="9.140625" style="1"/>
  </cols>
  <sheetData>
    <row r="1" spans="1:2" x14ac:dyDescent="0.2">
      <c r="A1" s="1">
        <v>0</v>
      </c>
      <c r="B1" s="2">
        <v>0</v>
      </c>
    </row>
    <row r="2" spans="1:2" x14ac:dyDescent="0.2">
      <c r="A2" s="1">
        <v>1</v>
      </c>
      <c r="B2" s="2" t="s">
        <v>0</v>
      </c>
    </row>
    <row r="3" spans="1:2" x14ac:dyDescent="0.2">
      <c r="A3" s="1">
        <v>2</v>
      </c>
      <c r="B3" s="2" t="s">
        <v>1</v>
      </c>
    </row>
    <row r="4" spans="1:2" x14ac:dyDescent="0.2">
      <c r="A4" s="1">
        <v>3</v>
      </c>
      <c r="B4" s="2" t="s">
        <v>2</v>
      </c>
    </row>
    <row r="5" spans="1:2" x14ac:dyDescent="0.2">
      <c r="A5" s="1">
        <v>4</v>
      </c>
      <c r="B5" s="2" t="s">
        <v>3</v>
      </c>
    </row>
    <row r="6" spans="1:2" x14ac:dyDescent="0.2">
      <c r="A6" s="1">
        <v>5</v>
      </c>
      <c r="B6" s="2" t="s">
        <v>4</v>
      </c>
    </row>
    <row r="7" spans="1:2" x14ac:dyDescent="0.2">
      <c r="A7" s="1">
        <v>6</v>
      </c>
      <c r="B7" s="2" t="s">
        <v>5</v>
      </c>
    </row>
    <row r="8" spans="1:2" x14ac:dyDescent="0.2">
      <c r="A8" s="1">
        <v>7</v>
      </c>
      <c r="B8" s="2" t="s">
        <v>6</v>
      </c>
    </row>
    <row r="9" spans="1:2" x14ac:dyDescent="0.2">
      <c r="A9" s="1">
        <v>8</v>
      </c>
      <c r="B9" s="2" t="s">
        <v>2</v>
      </c>
    </row>
    <row r="10" spans="1:2" x14ac:dyDescent="0.2">
      <c r="A10" s="1">
        <v>9</v>
      </c>
      <c r="B10" s="2" t="s">
        <v>3</v>
      </c>
    </row>
    <row r="11" spans="1:2" x14ac:dyDescent="0.2">
      <c r="A11" s="1">
        <v>10</v>
      </c>
      <c r="B11" s="2" t="s">
        <v>4</v>
      </c>
    </row>
    <row r="12" spans="1:2" x14ac:dyDescent="0.2">
      <c r="A12" s="1">
        <v>11</v>
      </c>
      <c r="B12" s="2" t="s">
        <v>5</v>
      </c>
    </row>
    <row r="13" spans="1:2" x14ac:dyDescent="0.2">
      <c r="A13" s="1">
        <v>12</v>
      </c>
      <c r="B13" s="2" t="s">
        <v>6</v>
      </c>
    </row>
    <row r="14" spans="1:2" x14ac:dyDescent="0.2">
      <c r="A14" s="1">
        <v>13</v>
      </c>
      <c r="B14" s="2" t="s">
        <v>7</v>
      </c>
    </row>
    <row r="15" spans="1:2" x14ac:dyDescent="0.2">
      <c r="A15" s="1">
        <v>14</v>
      </c>
      <c r="B15" s="2" t="s">
        <v>8</v>
      </c>
    </row>
    <row r="16" spans="1:2" x14ac:dyDescent="0.2">
      <c r="A16" s="1">
        <v>15</v>
      </c>
      <c r="B16" s="2" t="s">
        <v>9</v>
      </c>
    </row>
    <row r="17" spans="1:2" x14ac:dyDescent="0.2">
      <c r="A17" s="1">
        <v>16</v>
      </c>
      <c r="B17" s="2" t="s">
        <v>10</v>
      </c>
    </row>
    <row r="18" spans="1:2" x14ac:dyDescent="0.2">
      <c r="A18" s="1">
        <v>17</v>
      </c>
      <c r="B18" s="2" t="s">
        <v>11</v>
      </c>
    </row>
    <row r="19" spans="1:2" x14ac:dyDescent="0.2">
      <c r="A19" s="1">
        <v>18</v>
      </c>
      <c r="B19" s="2" t="s">
        <v>12</v>
      </c>
    </row>
    <row r="20" spans="1:2" x14ac:dyDescent="0.2">
      <c r="A20" s="1">
        <v>19</v>
      </c>
      <c r="B20" s="2" t="s">
        <v>13</v>
      </c>
    </row>
    <row r="21" spans="1:2" x14ac:dyDescent="0.2">
      <c r="A21" s="1">
        <v>20</v>
      </c>
      <c r="B21" s="2" t="s">
        <v>14</v>
      </c>
    </row>
    <row r="22" spans="1:2" x14ac:dyDescent="0.2">
      <c r="A22" s="1">
        <v>21</v>
      </c>
      <c r="B22" s="2" t="s">
        <v>15</v>
      </c>
    </row>
    <row r="23" spans="1:2" x14ac:dyDescent="0.2">
      <c r="A23" s="1">
        <v>22</v>
      </c>
      <c r="B23" s="2" t="s">
        <v>16</v>
      </c>
    </row>
    <row r="24" spans="1:2" x14ac:dyDescent="0.2">
      <c r="A24" s="1">
        <v>23</v>
      </c>
      <c r="B24" s="2" t="s">
        <v>17</v>
      </c>
    </row>
    <row r="25" spans="1:2" x14ac:dyDescent="0.2">
      <c r="A25" s="1">
        <v>24</v>
      </c>
      <c r="B25" s="2" t="s">
        <v>18</v>
      </c>
    </row>
    <row r="26" spans="1:2" x14ac:dyDescent="0.2">
      <c r="A26" s="1">
        <v>25</v>
      </c>
      <c r="B26" s="2" t="s">
        <v>19</v>
      </c>
    </row>
    <row r="27" spans="1:2" x14ac:dyDescent="0.2">
      <c r="A27" s="1">
        <v>26</v>
      </c>
      <c r="B27" s="2" t="s">
        <v>20</v>
      </c>
    </row>
    <row r="28" spans="1:2" x14ac:dyDescent="0.2">
      <c r="A28" s="1">
        <v>27</v>
      </c>
      <c r="B28" s="2" t="s">
        <v>21</v>
      </c>
    </row>
    <row r="29" spans="1:2" x14ac:dyDescent="0.2">
      <c r="A29" s="1">
        <v>28</v>
      </c>
      <c r="B29" s="2" t="s">
        <v>22</v>
      </c>
    </row>
    <row r="30" spans="1:2" x14ac:dyDescent="0.2">
      <c r="A30" s="1">
        <v>29</v>
      </c>
      <c r="B30" s="2" t="s">
        <v>23</v>
      </c>
    </row>
    <row r="31" spans="1:2" x14ac:dyDescent="0.2">
      <c r="A31" s="1">
        <v>30</v>
      </c>
      <c r="B31" s="2" t="s">
        <v>24</v>
      </c>
    </row>
    <row r="32" spans="1:2" x14ac:dyDescent="0.2">
      <c r="A32" s="1">
        <v>31</v>
      </c>
      <c r="B32" s="2" t="s">
        <v>25</v>
      </c>
    </row>
    <row r="33" spans="1:2" x14ac:dyDescent="0.2">
      <c r="B33" s="1" t="s">
        <v>26</v>
      </c>
    </row>
    <row r="34" spans="1:2" x14ac:dyDescent="0.2">
      <c r="A34" s="1" t="s">
        <v>27</v>
      </c>
    </row>
    <row r="36" spans="1:2" x14ac:dyDescent="0.2">
      <c r="A36" s="1" t="s">
        <v>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25"/>
  <sheetViews>
    <sheetView showGridLines="0" showRowColHeaders="0" tabSelected="1" zoomScaleNormal="100" workbookViewId="0">
      <pane ySplit="3" topLeftCell="A4" activePane="bottomLeft" state="frozen"/>
      <selection pane="bottomLeft" activeCell="N1" sqref="N1"/>
    </sheetView>
  </sheetViews>
  <sheetFormatPr defaultRowHeight="12.75" x14ac:dyDescent="0.2"/>
  <cols>
    <col min="1" max="1" width="4.140625" style="418" customWidth="1"/>
    <col min="2" max="2" width="3" style="418" customWidth="1"/>
    <col min="3" max="3" width="4.7109375" style="418" customWidth="1"/>
    <col min="4" max="4" width="3" style="418" customWidth="1"/>
    <col min="5" max="5" width="7.28515625" style="418" customWidth="1"/>
    <col min="6" max="6" width="3" style="418" customWidth="1"/>
    <col min="7" max="7" width="5.28515625" style="418" customWidth="1"/>
    <col min="8" max="8" width="3" style="418" customWidth="1"/>
    <col min="9" max="9" width="10.7109375" style="418" customWidth="1"/>
    <col min="10" max="10" width="3" style="418" customWidth="1"/>
    <col min="11" max="11" width="21.7109375" style="418" customWidth="1"/>
    <col min="12" max="12" width="3" style="418" customWidth="1"/>
    <col min="13" max="13" width="21.7109375" style="418" customWidth="1"/>
    <col min="14" max="14" width="3" style="418" customWidth="1"/>
    <col min="15" max="19" width="9.140625" style="418" customWidth="1"/>
    <col min="20" max="16384" width="9.140625" style="418"/>
  </cols>
  <sheetData>
    <row r="1" spans="1:18" x14ac:dyDescent="0.2">
      <c r="A1" s="195" t="s">
        <v>242</v>
      </c>
      <c r="C1" s="417"/>
      <c r="D1" s="417"/>
      <c r="E1" s="416"/>
      <c r="F1" s="416"/>
      <c r="G1" s="417"/>
      <c r="H1" s="417"/>
      <c r="I1" s="417"/>
      <c r="J1" s="417"/>
      <c r="K1" s="417"/>
      <c r="L1" s="739" t="s">
        <v>366</v>
      </c>
      <c r="N1" s="419"/>
      <c r="O1" s="417"/>
      <c r="P1" s="417"/>
      <c r="Q1" s="417"/>
      <c r="R1" s="417"/>
    </row>
    <row r="2" spans="1:18" ht="13.5" thickBot="1" x14ac:dyDescent="0.25">
      <c r="A2" s="417"/>
      <c r="B2" s="417"/>
      <c r="C2" s="417"/>
      <c r="D2" s="417"/>
      <c r="E2" s="416"/>
      <c r="F2" s="416"/>
      <c r="G2" s="417"/>
      <c r="H2" s="417"/>
      <c r="I2" s="417"/>
      <c r="J2" s="417"/>
      <c r="K2" s="417"/>
      <c r="L2" s="420" t="str">
        <f>HYPERLINK("","")</f>
        <v/>
      </c>
      <c r="M2" s="417"/>
      <c r="N2" s="416"/>
      <c r="O2" s="417"/>
      <c r="P2" s="417"/>
      <c r="Q2" s="417"/>
      <c r="R2" s="417"/>
    </row>
    <row r="3" spans="1:18" ht="13.5" thickBot="1" x14ac:dyDescent="0.25">
      <c r="A3" s="421" t="s">
        <v>48</v>
      </c>
      <c r="B3" s="422"/>
      <c r="C3" s="423" t="s">
        <v>49</v>
      </c>
      <c r="D3" s="422"/>
      <c r="E3" s="421" t="s">
        <v>50</v>
      </c>
      <c r="F3" s="422"/>
      <c r="G3" s="421" t="s">
        <v>51</v>
      </c>
      <c r="H3" s="422"/>
      <c r="I3" s="970" t="s">
        <v>52</v>
      </c>
      <c r="J3" s="971"/>
      <c r="K3" s="421" t="s">
        <v>53</v>
      </c>
      <c r="L3" s="422"/>
      <c r="M3" s="421" t="s">
        <v>54</v>
      </c>
      <c r="N3" s="422"/>
      <c r="O3" s="417"/>
      <c r="P3" s="417"/>
      <c r="Q3" s="417"/>
      <c r="R3" s="417"/>
    </row>
    <row r="4" spans="1:18" ht="13.5" hidden="1" thickBot="1" x14ac:dyDescent="0.25">
      <c r="A4" s="424" t="s">
        <v>189</v>
      </c>
      <c r="B4" s="425"/>
      <c r="C4" s="426"/>
      <c r="D4" s="427"/>
      <c r="E4" s="428"/>
      <c r="F4" s="429"/>
      <c r="G4" s="428"/>
      <c r="H4" s="429"/>
      <c r="I4" s="429"/>
      <c r="J4" s="429"/>
      <c r="K4" s="428"/>
      <c r="L4" s="429"/>
      <c r="M4" s="428"/>
      <c r="N4" s="429"/>
      <c r="O4" s="430"/>
      <c r="P4" s="430"/>
      <c r="Q4" s="430"/>
      <c r="R4" s="430"/>
    </row>
    <row r="5" spans="1:18" ht="13.5" hidden="1" thickBot="1" x14ac:dyDescent="0.25">
      <c r="A5" s="431"/>
      <c r="B5" s="432">
        <v>4</v>
      </c>
      <c r="C5" s="433"/>
      <c r="D5" s="432">
        <v>5</v>
      </c>
      <c r="E5" s="433"/>
      <c r="F5" s="432">
        <v>6</v>
      </c>
      <c r="G5" s="433"/>
      <c r="H5" s="432">
        <v>7</v>
      </c>
      <c r="I5" s="434"/>
      <c r="J5" s="432">
        <v>8</v>
      </c>
      <c r="K5" s="434"/>
      <c r="L5" s="432">
        <v>9</v>
      </c>
      <c r="M5" s="434"/>
      <c r="N5" s="435">
        <v>10</v>
      </c>
      <c r="O5" s="430"/>
      <c r="P5" s="430"/>
      <c r="Q5" s="430"/>
      <c r="R5" s="430"/>
    </row>
    <row r="6" spans="1:18" ht="13.5" hidden="1" thickBot="1" x14ac:dyDescent="0.25">
      <c r="A6" s="436"/>
      <c r="B6" s="437"/>
      <c r="C6" s="428"/>
      <c r="D6" s="438"/>
      <c r="E6" s="428"/>
      <c r="F6" s="437"/>
      <c r="G6" s="428"/>
      <c r="H6" s="438"/>
      <c r="I6" s="439"/>
      <c r="J6" s="438"/>
      <c r="K6" s="439"/>
      <c r="L6" s="438"/>
      <c r="M6" s="439"/>
      <c r="N6" s="440"/>
      <c r="O6" s="430"/>
      <c r="P6" s="430"/>
      <c r="Q6" s="430"/>
      <c r="R6" s="430"/>
    </row>
    <row r="7" spans="1:18" ht="13.5" hidden="1" thickBot="1" x14ac:dyDescent="0.25">
      <c r="A7" s="441"/>
      <c r="B7" s="442"/>
      <c r="C7" s="443"/>
      <c r="D7" s="444"/>
      <c r="E7" s="443"/>
      <c r="F7" s="442"/>
      <c r="G7" s="443"/>
      <c r="H7" s="444"/>
      <c r="I7" s="445"/>
      <c r="J7" s="444"/>
      <c r="K7" s="445"/>
      <c r="L7" s="444"/>
      <c r="M7" s="445"/>
      <c r="N7" s="446"/>
      <c r="O7" s="430"/>
      <c r="P7" s="430"/>
      <c r="Q7" s="430"/>
      <c r="R7" s="430"/>
    </row>
    <row r="8" spans="1:18" ht="13.5" hidden="1" thickBot="1" x14ac:dyDescent="0.25">
      <c r="A8" s="431"/>
      <c r="B8" s="432">
        <v>11</v>
      </c>
      <c r="C8" s="433"/>
      <c r="D8" s="432">
        <v>12</v>
      </c>
      <c r="E8" s="433"/>
      <c r="F8" s="432">
        <v>13</v>
      </c>
      <c r="G8" s="433"/>
      <c r="H8" s="432">
        <v>14</v>
      </c>
      <c r="I8" s="434"/>
      <c r="J8" s="432">
        <v>15</v>
      </c>
      <c r="K8" s="434"/>
      <c r="L8" s="432">
        <v>16</v>
      </c>
      <c r="M8" s="434"/>
      <c r="N8" s="435">
        <v>17</v>
      </c>
      <c r="O8" s="430"/>
      <c r="P8" s="430"/>
      <c r="Q8" s="430"/>
      <c r="R8" s="430"/>
    </row>
    <row r="9" spans="1:18" ht="13.5" hidden="1" thickBot="1" x14ac:dyDescent="0.25">
      <c r="A9" s="436"/>
      <c r="B9" s="437"/>
      <c r="C9" s="428"/>
      <c r="D9" s="438"/>
      <c r="E9" s="428"/>
      <c r="F9" s="437"/>
      <c r="G9" s="428"/>
      <c r="H9" s="438"/>
      <c r="I9" s="439"/>
      <c r="J9" s="438"/>
      <c r="K9" s="439"/>
      <c r="L9" s="438"/>
      <c r="M9" s="439"/>
      <c r="N9" s="440"/>
      <c r="O9" s="428"/>
      <c r="P9" s="430"/>
      <c r="Q9" s="430"/>
      <c r="R9" s="430"/>
    </row>
    <row r="10" spans="1:18" ht="13.5" hidden="1" thickBot="1" x14ac:dyDescent="0.25">
      <c r="A10" s="441"/>
      <c r="B10" s="442"/>
      <c r="C10" s="443"/>
      <c r="D10" s="444"/>
      <c r="E10" s="443"/>
      <c r="F10" s="442"/>
      <c r="G10" s="443"/>
      <c r="H10" s="444"/>
      <c r="I10" s="445"/>
      <c r="J10" s="444"/>
      <c r="K10" s="445"/>
      <c r="L10" s="444"/>
      <c r="M10" s="445"/>
      <c r="N10" s="446"/>
      <c r="O10" s="430"/>
      <c r="P10" s="430"/>
      <c r="Q10" s="430"/>
      <c r="R10" s="430"/>
    </row>
    <row r="11" spans="1:18" ht="13.5" hidden="1" thickBot="1" x14ac:dyDescent="0.25">
      <c r="A11" s="436"/>
      <c r="B11" s="447">
        <v>18</v>
      </c>
      <c r="C11" s="428"/>
      <c r="D11" s="447">
        <v>19</v>
      </c>
      <c r="E11" s="428"/>
      <c r="F11" s="448">
        <v>20</v>
      </c>
      <c r="G11" s="434"/>
      <c r="H11" s="447">
        <v>21</v>
      </c>
      <c r="I11" s="439"/>
      <c r="J11" s="447">
        <v>22</v>
      </c>
      <c r="K11" s="428"/>
      <c r="L11" s="447">
        <v>23</v>
      </c>
      <c r="M11" s="434"/>
      <c r="N11" s="449">
        <v>24</v>
      </c>
      <c r="O11" s="450"/>
      <c r="P11" s="451"/>
      <c r="Q11" s="451"/>
      <c r="R11" s="451"/>
    </row>
    <row r="12" spans="1:18" ht="13.5" hidden="1" thickBot="1" x14ac:dyDescent="0.25">
      <c r="A12" s="436"/>
      <c r="B12" s="452"/>
      <c r="C12" s="428"/>
      <c r="D12" s="438"/>
      <c r="E12" s="428"/>
      <c r="F12" s="430"/>
      <c r="G12" s="439"/>
      <c r="H12" s="440"/>
      <c r="I12" s="439"/>
      <c r="J12" s="438"/>
      <c r="K12" s="428"/>
      <c r="L12" s="438"/>
      <c r="M12" s="439"/>
      <c r="N12" s="440"/>
      <c r="O12" s="450"/>
      <c r="P12" s="451"/>
      <c r="Q12" s="451"/>
      <c r="R12" s="451"/>
    </row>
    <row r="13" spans="1:18" ht="13.5" hidden="1" thickBot="1" x14ac:dyDescent="0.25">
      <c r="A13" s="436"/>
      <c r="B13" s="430"/>
      <c r="C13" s="436"/>
      <c r="D13" s="440"/>
      <c r="E13" s="428"/>
      <c r="F13" s="430"/>
      <c r="G13" s="445"/>
      <c r="H13" s="440"/>
      <c r="I13" s="453"/>
      <c r="J13" s="429"/>
      <c r="K13" s="436"/>
      <c r="L13" s="440"/>
      <c r="M13" s="445"/>
      <c r="N13" s="440"/>
      <c r="O13" s="450"/>
      <c r="P13" s="451"/>
      <c r="Q13" s="451"/>
      <c r="R13" s="451"/>
    </row>
    <row r="14" spans="1:18" ht="13.5" hidden="1" thickBot="1" x14ac:dyDescent="0.25">
      <c r="A14" s="454"/>
      <c r="B14" s="455">
        <v>25</v>
      </c>
      <c r="C14" s="456"/>
      <c r="D14" s="455">
        <v>26</v>
      </c>
      <c r="E14" s="456"/>
      <c r="F14" s="457">
        <v>27</v>
      </c>
      <c r="G14" s="434"/>
      <c r="H14" s="455">
        <v>28</v>
      </c>
      <c r="I14" s="458"/>
      <c r="J14" s="455">
        <v>29</v>
      </c>
      <c r="K14" s="456"/>
      <c r="L14" s="455">
        <v>30</v>
      </c>
      <c r="M14" s="434"/>
      <c r="N14" s="459">
        <v>31</v>
      </c>
      <c r="O14" s="450"/>
      <c r="P14" s="451"/>
      <c r="Q14" s="451"/>
      <c r="R14" s="451"/>
    </row>
    <row r="15" spans="1:18" ht="13.5" hidden="1" thickBot="1" x14ac:dyDescent="0.25">
      <c r="A15" s="436"/>
      <c r="B15" s="452"/>
      <c r="C15" s="428"/>
      <c r="D15" s="438"/>
      <c r="E15" s="428"/>
      <c r="F15" s="430"/>
      <c r="G15" s="439"/>
      <c r="H15" s="440"/>
      <c r="I15" s="439"/>
      <c r="J15" s="438"/>
      <c r="K15" s="428"/>
      <c r="L15" s="438"/>
      <c r="M15" s="439"/>
      <c r="N15" s="440"/>
      <c r="O15" s="450"/>
      <c r="P15" s="451"/>
      <c r="Q15" s="451"/>
      <c r="R15" s="451"/>
    </row>
    <row r="16" spans="1:18" ht="13.5" hidden="1" thickBot="1" x14ac:dyDescent="0.25">
      <c r="A16" s="460"/>
      <c r="B16" s="461"/>
      <c r="C16" s="460"/>
      <c r="D16" s="462"/>
      <c r="E16" s="463"/>
      <c r="F16" s="461"/>
      <c r="G16" s="445"/>
      <c r="H16" s="462"/>
      <c r="I16" s="464"/>
      <c r="J16" s="465"/>
      <c r="K16" s="460"/>
      <c r="L16" s="462"/>
      <c r="M16" s="445"/>
      <c r="N16" s="462"/>
      <c r="O16" s="450"/>
      <c r="P16" s="451"/>
      <c r="Q16" s="451"/>
      <c r="R16" s="451"/>
    </row>
    <row r="17" spans="1:18" ht="13.5" thickBot="1" x14ac:dyDescent="0.25">
      <c r="A17" s="466" t="s">
        <v>243</v>
      </c>
      <c r="B17" s="467"/>
      <c r="C17" s="468"/>
      <c r="D17" s="469"/>
      <c r="E17" s="470"/>
      <c r="F17" s="470"/>
      <c r="G17" s="471"/>
      <c r="H17" s="471"/>
      <c r="I17" s="471"/>
      <c r="J17" s="471"/>
      <c r="K17" s="471"/>
      <c r="L17" s="471"/>
      <c r="M17" s="471"/>
      <c r="N17" s="470"/>
      <c r="O17" s="472"/>
      <c r="P17" s="417"/>
      <c r="Q17" s="417"/>
      <c r="R17" s="417"/>
    </row>
    <row r="18" spans="1:18" x14ac:dyDescent="0.2">
      <c r="A18" s="454"/>
      <c r="B18" s="473">
        <v>1</v>
      </c>
      <c r="C18" s="474"/>
      <c r="D18" s="475">
        <v>2</v>
      </c>
      <c r="E18" s="476"/>
      <c r="F18" s="477">
        <v>3</v>
      </c>
      <c r="G18" s="478"/>
      <c r="H18" s="479">
        <v>4</v>
      </c>
      <c r="I18" s="480"/>
      <c r="J18" s="477">
        <v>5</v>
      </c>
      <c r="K18" s="478"/>
      <c r="L18" s="473">
        <v>6</v>
      </c>
      <c r="M18" s="481"/>
      <c r="N18" s="482">
        <v>7</v>
      </c>
      <c r="O18" s="450"/>
      <c r="P18" s="451"/>
      <c r="Q18" s="451"/>
      <c r="R18" s="451"/>
    </row>
    <row r="19" spans="1:18" x14ac:dyDescent="0.2">
      <c r="A19" s="483"/>
      <c r="B19" s="437"/>
      <c r="C19" s="428"/>
      <c r="D19" s="429"/>
      <c r="E19" s="484"/>
      <c r="F19" s="452"/>
      <c r="G19" s="428"/>
      <c r="H19" s="485"/>
      <c r="I19" s="486"/>
      <c r="J19" s="440"/>
      <c r="K19" s="429"/>
      <c r="L19" s="438"/>
      <c r="M19" s="430"/>
      <c r="N19" s="440"/>
      <c r="O19" s="450"/>
      <c r="P19" s="451"/>
      <c r="Q19" s="451"/>
      <c r="R19" s="451"/>
    </row>
    <row r="20" spans="1:18" ht="13.5" thickBot="1" x14ac:dyDescent="0.25">
      <c r="A20" s="436"/>
      <c r="B20" s="437"/>
      <c r="C20" s="428"/>
      <c r="D20" s="429"/>
      <c r="E20" s="484"/>
      <c r="F20" s="487"/>
      <c r="G20" s="428"/>
      <c r="H20" s="485"/>
      <c r="I20" s="486"/>
      <c r="J20" s="488"/>
      <c r="K20" s="429"/>
      <c r="L20" s="438"/>
      <c r="M20" s="430"/>
      <c r="N20" s="488"/>
      <c r="O20" s="450"/>
      <c r="P20" s="451"/>
      <c r="Q20" s="451"/>
      <c r="R20" s="451"/>
    </row>
    <row r="21" spans="1:18" x14ac:dyDescent="0.2">
      <c r="A21" s="489"/>
      <c r="B21" s="490">
        <v>8</v>
      </c>
      <c r="C21" s="491"/>
      <c r="D21" s="490">
        <v>9</v>
      </c>
      <c r="E21" s="492"/>
      <c r="F21" s="490">
        <v>10</v>
      </c>
      <c r="G21" s="493"/>
      <c r="H21" s="490">
        <v>11</v>
      </c>
      <c r="I21" s="478"/>
      <c r="J21" s="494">
        <v>12</v>
      </c>
      <c r="K21" s="767" t="s">
        <v>241</v>
      </c>
      <c r="L21" s="495">
        <v>13</v>
      </c>
      <c r="M21" s="434"/>
      <c r="N21" s="496">
        <v>14</v>
      </c>
      <c r="O21" s="497"/>
      <c r="P21" s="417"/>
      <c r="Q21" s="416"/>
      <c r="R21" s="416"/>
    </row>
    <row r="22" spans="1:18" x14ac:dyDescent="0.2">
      <c r="A22" s="498"/>
      <c r="B22" s="499"/>
      <c r="C22" s="229"/>
      <c r="D22" s="499"/>
      <c r="E22" s="500"/>
      <c r="F22" s="501"/>
      <c r="G22" s="502"/>
      <c r="H22" s="501"/>
      <c r="I22" s="428"/>
      <c r="J22" s="488"/>
      <c r="K22" s="768" t="s">
        <v>55</v>
      </c>
      <c r="L22" s="503"/>
      <c r="M22" s="439"/>
      <c r="N22" s="488"/>
      <c r="O22" s="497"/>
      <c r="P22" s="417"/>
      <c r="Q22" s="416"/>
      <c r="R22" s="416"/>
    </row>
    <row r="23" spans="1:18" ht="13.5" thickBot="1" x14ac:dyDescent="0.25">
      <c r="A23" s="498"/>
      <c r="B23" s="499"/>
      <c r="C23" s="229"/>
      <c r="D23" s="499"/>
      <c r="E23" s="500"/>
      <c r="F23" s="501"/>
      <c r="G23" s="502"/>
      <c r="H23" s="504"/>
      <c r="I23" s="484"/>
      <c r="J23" s="505"/>
      <c r="K23" s="769" t="str">
        <f>HYPERLINK("https://kaart.delfi.ee/?bookmark=236e0f8de3f3d8e7138807663f9b5d14","Voka petangihall")</f>
        <v>Voka petangihall</v>
      </c>
      <c r="L23" s="503"/>
      <c r="M23" s="445"/>
      <c r="N23" s="506"/>
      <c r="O23" s="472"/>
      <c r="P23" s="417"/>
      <c r="Q23" s="417"/>
      <c r="R23" s="417"/>
    </row>
    <row r="24" spans="1:18" x14ac:dyDescent="0.2">
      <c r="A24" s="507"/>
      <c r="B24" s="508">
        <v>15</v>
      </c>
      <c r="C24" s="509"/>
      <c r="D24" s="508">
        <v>16</v>
      </c>
      <c r="E24" s="510"/>
      <c r="F24" s="508">
        <v>17</v>
      </c>
      <c r="G24" s="511"/>
      <c r="H24" s="508">
        <v>18</v>
      </c>
      <c r="I24" s="511"/>
      <c r="J24" s="508">
        <v>19</v>
      </c>
      <c r="K24" s="767" t="s">
        <v>240</v>
      </c>
      <c r="L24" s="508">
        <v>20</v>
      </c>
      <c r="M24" s="511"/>
      <c r="N24" s="512">
        <v>21</v>
      </c>
      <c r="O24" s="497"/>
      <c r="P24" s="417"/>
      <c r="Q24" s="416"/>
      <c r="R24" s="416"/>
    </row>
    <row r="25" spans="1:18" x14ac:dyDescent="0.2">
      <c r="A25" s="498"/>
      <c r="B25" s="499"/>
      <c r="C25" s="229"/>
      <c r="D25" s="501"/>
      <c r="E25" s="500"/>
      <c r="F25" s="501"/>
      <c r="G25" s="502"/>
      <c r="H25" s="501"/>
      <c r="I25" s="502"/>
      <c r="J25" s="501"/>
      <c r="K25" s="768" t="s">
        <v>55</v>
      </c>
      <c r="L25" s="513"/>
      <c r="M25" s="502"/>
      <c r="N25" s="488"/>
      <c r="O25" s="497"/>
      <c r="P25" s="417"/>
      <c r="Q25" s="416"/>
      <c r="R25" s="416"/>
    </row>
    <row r="26" spans="1:18" ht="13.5" thickBot="1" x14ac:dyDescent="0.25">
      <c r="A26" s="514"/>
      <c r="B26" s="515"/>
      <c r="C26" s="516"/>
      <c r="D26" s="515"/>
      <c r="E26" s="517"/>
      <c r="F26" s="518"/>
      <c r="G26" s="519"/>
      <c r="H26" s="518"/>
      <c r="I26" s="519"/>
      <c r="J26" s="518"/>
      <c r="K26" s="769" t="str">
        <f>HYPERLINK("https://kaart.delfi.ee/?bookmark=236e0f8de3f3d8e7138807663f9b5d14","Voka petangihall")</f>
        <v>Voka petangihall</v>
      </c>
      <c r="L26" s="520"/>
      <c r="M26" s="517"/>
      <c r="N26" s="462"/>
      <c r="O26" s="472"/>
      <c r="P26" s="417"/>
      <c r="Q26" s="417"/>
      <c r="R26" s="416"/>
    </row>
    <row r="27" spans="1:18" x14ac:dyDescent="0.2">
      <c r="A27" s="521"/>
      <c r="B27" s="522">
        <v>22</v>
      </c>
      <c r="C27" s="523"/>
      <c r="D27" s="522">
        <v>23</v>
      </c>
      <c r="E27" s="523"/>
      <c r="F27" s="522">
        <v>24</v>
      </c>
      <c r="G27" s="523"/>
      <c r="H27" s="524">
        <v>25</v>
      </c>
      <c r="I27" s="523"/>
      <c r="J27" s="525">
        <v>26</v>
      </c>
      <c r="K27" s="767" t="s">
        <v>240</v>
      </c>
      <c r="L27" s="526">
        <v>27</v>
      </c>
      <c r="M27" s="523"/>
      <c r="N27" s="527">
        <v>28</v>
      </c>
      <c r="O27" s="497"/>
      <c r="P27" s="417"/>
      <c r="Q27" s="416"/>
      <c r="R27" s="416"/>
    </row>
    <row r="28" spans="1:18" x14ac:dyDescent="0.2">
      <c r="A28" s="528"/>
      <c r="B28" s="529"/>
      <c r="C28" s="530"/>
      <c r="D28" s="531"/>
      <c r="E28" s="528"/>
      <c r="F28" s="529"/>
      <c r="G28" s="530"/>
      <c r="H28" s="531"/>
      <c r="I28" s="528"/>
      <c r="J28" s="529"/>
      <c r="K28" s="768" t="s">
        <v>55</v>
      </c>
      <c r="L28" s="532"/>
      <c r="M28" s="528"/>
      <c r="N28" s="529"/>
      <c r="O28" s="497"/>
      <c r="P28" s="417"/>
      <c r="Q28" s="416"/>
      <c r="R28" s="416"/>
    </row>
    <row r="29" spans="1:18" ht="13.5" thickBot="1" x14ac:dyDescent="0.25">
      <c r="A29" s="528"/>
      <c r="B29" s="533"/>
      <c r="C29" s="530"/>
      <c r="D29" s="531"/>
      <c r="E29" s="528"/>
      <c r="F29" s="533"/>
      <c r="G29" s="530"/>
      <c r="H29" s="531"/>
      <c r="I29" s="528"/>
      <c r="J29" s="533"/>
      <c r="K29" s="769" t="str">
        <f>HYPERLINK("https://kaart.delfi.ee/?bookmark=236e0f8de3f3d8e7138807663f9b5d14","Voka petangihall")</f>
        <v>Voka petangihall</v>
      </c>
      <c r="L29" s="532"/>
      <c r="M29" s="528"/>
      <c r="N29" s="533"/>
      <c r="O29" s="497"/>
      <c r="P29" s="417"/>
      <c r="Q29" s="416"/>
      <c r="R29" s="416"/>
    </row>
    <row r="30" spans="1:18" ht="13.5" thickBot="1" x14ac:dyDescent="0.25">
      <c r="A30" s="466" t="s">
        <v>244</v>
      </c>
      <c r="B30" s="467"/>
      <c r="C30" s="468"/>
      <c r="D30" s="534"/>
      <c r="E30" s="478"/>
      <c r="F30" s="535"/>
      <c r="G30" s="478"/>
      <c r="H30" s="536"/>
      <c r="I30" s="535"/>
      <c r="J30" s="536"/>
      <c r="K30" s="478"/>
      <c r="L30" s="535"/>
      <c r="M30" s="478"/>
      <c r="N30" s="535"/>
      <c r="O30" s="472"/>
      <c r="P30" s="417"/>
      <c r="Q30" s="416"/>
      <c r="R30" s="416"/>
    </row>
    <row r="31" spans="1:18" x14ac:dyDescent="0.2">
      <c r="A31" s="537"/>
      <c r="B31" s="538">
        <v>29</v>
      </c>
      <c r="C31" s="539"/>
      <c r="D31" s="540">
        <v>30</v>
      </c>
      <c r="E31" s="539"/>
      <c r="F31" s="541">
        <v>1</v>
      </c>
      <c r="G31" s="542"/>
      <c r="H31" s="543">
        <v>2</v>
      </c>
      <c r="I31" s="434"/>
      <c r="J31" s="544">
        <v>3</v>
      </c>
      <c r="K31" s="770" t="str">
        <f>HYPERLINK("#'iv-t'!$A$5","Ida-Virumaa sise-MV")</f>
        <v>Ida-Virumaa sise-MV</v>
      </c>
      <c r="L31" s="545">
        <v>4</v>
      </c>
      <c r="M31" s="546"/>
      <c r="N31" s="547">
        <v>5</v>
      </c>
      <c r="O31" s="497"/>
      <c r="P31" s="416"/>
      <c r="Q31" s="416"/>
      <c r="R31" s="416"/>
    </row>
    <row r="32" spans="1:18" x14ac:dyDescent="0.2">
      <c r="A32" s="548"/>
      <c r="B32" s="499"/>
      <c r="C32" s="229"/>
      <c r="D32" s="549"/>
      <c r="E32" s="229"/>
      <c r="F32" s="501"/>
      <c r="G32" s="502"/>
      <c r="H32" s="550"/>
      <c r="I32" s="439"/>
      <c r="J32" s="529"/>
      <c r="K32" s="771" t="s">
        <v>56</v>
      </c>
      <c r="L32" s="551"/>
      <c r="M32" s="439"/>
      <c r="N32" s="529"/>
      <c r="O32" s="497"/>
      <c r="P32" s="416"/>
      <c r="Q32" s="416"/>
      <c r="R32" s="416"/>
    </row>
    <row r="33" spans="1:18" ht="13.5" thickBot="1" x14ac:dyDescent="0.25">
      <c r="A33" s="552"/>
      <c r="B33" s="553"/>
      <c r="C33" s="554"/>
      <c r="D33" s="555"/>
      <c r="E33" s="556"/>
      <c r="F33" s="557"/>
      <c r="G33" s="558"/>
      <c r="H33" s="559"/>
      <c r="I33" s="560"/>
      <c r="J33" s="561"/>
      <c r="K33" s="772" t="str">
        <f>HYPERLINK("https://kaart.delfi.ee/?bookmark=236e0f8de3f3d8e7138807663f9b5d14","Voka petangihall")</f>
        <v>Voka petangihall</v>
      </c>
      <c r="L33" s="562"/>
      <c r="M33" s="560"/>
      <c r="N33" s="533"/>
      <c r="O33" s="497"/>
      <c r="P33" s="416"/>
      <c r="Q33" s="416"/>
      <c r="R33" s="416"/>
    </row>
    <row r="34" spans="1:18" ht="13.5" thickTop="1" x14ac:dyDescent="0.2">
      <c r="A34" s="563"/>
      <c r="B34" s="564">
        <v>6</v>
      </c>
      <c r="C34" s="565"/>
      <c r="D34" s="564">
        <v>7</v>
      </c>
      <c r="E34" s="484"/>
      <c r="F34" s="447">
        <v>8</v>
      </c>
      <c r="G34" s="566"/>
      <c r="H34" s="447">
        <v>9</v>
      </c>
      <c r="I34" s="548"/>
      <c r="J34" s="449">
        <v>10</v>
      </c>
      <c r="K34" s="439"/>
      <c r="L34" s="447">
        <v>11</v>
      </c>
      <c r="M34" s="773" t="str">
        <f>HYPERLINK("#V1!$A$5","Voka IV sise-KV 1. etapp")</f>
        <v>Voka IV sise-KV 1. etapp</v>
      </c>
      <c r="N34" s="432">
        <v>12</v>
      </c>
      <c r="O34" s="472"/>
      <c r="P34" s="417"/>
      <c r="Q34" s="417"/>
      <c r="R34" s="417"/>
    </row>
    <row r="35" spans="1:18" x14ac:dyDescent="0.2">
      <c r="A35" s="484"/>
      <c r="B35" s="567"/>
      <c r="C35" s="428"/>
      <c r="D35" s="567"/>
      <c r="E35" s="484"/>
      <c r="F35" s="567"/>
      <c r="G35" s="566"/>
      <c r="H35" s="567"/>
      <c r="I35" s="548"/>
      <c r="J35" s="568"/>
      <c r="K35" s="439"/>
      <c r="L35" s="529"/>
      <c r="M35" s="774" t="s">
        <v>55</v>
      </c>
      <c r="N35" s="569"/>
      <c r="O35" s="472"/>
      <c r="P35" s="417"/>
      <c r="Q35" s="417"/>
      <c r="R35" s="417"/>
    </row>
    <row r="36" spans="1:18" ht="13.5" thickBot="1" x14ac:dyDescent="0.25">
      <c r="A36" s="484"/>
      <c r="B36" s="567"/>
      <c r="C36" s="428"/>
      <c r="D36" s="567"/>
      <c r="E36" s="484"/>
      <c r="F36" s="567"/>
      <c r="G36" s="570"/>
      <c r="H36" s="567"/>
      <c r="I36" s="548"/>
      <c r="J36" s="568"/>
      <c r="K36" s="445"/>
      <c r="L36" s="533"/>
      <c r="M36" s="775" t="str">
        <f>HYPERLINK("https://kaart.delfi.ee/?bookmark=236e0f8de3f3d8e7138807663f9b5d14","Voka petangihall")</f>
        <v>Voka petangihall</v>
      </c>
      <c r="N36" s="569"/>
      <c r="O36" s="472"/>
      <c r="P36" s="417"/>
      <c r="Q36" s="417"/>
      <c r="R36" s="417"/>
    </row>
    <row r="37" spans="1:18" x14ac:dyDescent="0.2">
      <c r="A37" s="571"/>
      <c r="B37" s="572">
        <v>13</v>
      </c>
      <c r="C37" s="573"/>
      <c r="D37" s="572">
        <v>14</v>
      </c>
      <c r="E37" s="571"/>
      <c r="F37" s="572">
        <v>15</v>
      </c>
      <c r="G37" s="571"/>
      <c r="H37" s="572">
        <v>16</v>
      </c>
      <c r="I37" s="574"/>
      <c r="J37" s="572">
        <v>17</v>
      </c>
      <c r="K37" s="574"/>
      <c r="L37" s="541">
        <v>18</v>
      </c>
      <c r="M37" s="776" t="str">
        <f>HYPERLINK("#V2!$A$5","Voka IV sise-KV 2. etapp")</f>
        <v>Voka IV sise-KV 2. etapp</v>
      </c>
      <c r="N37" s="538">
        <v>19</v>
      </c>
      <c r="O37" s="472"/>
      <c r="P37" s="417"/>
      <c r="Q37" s="417"/>
      <c r="R37" s="417"/>
    </row>
    <row r="38" spans="1:18" x14ac:dyDescent="0.2">
      <c r="A38" s="484"/>
      <c r="B38" s="567"/>
      <c r="C38" s="428"/>
      <c r="D38" s="567"/>
      <c r="E38" s="428"/>
      <c r="F38" s="567"/>
      <c r="G38" s="484"/>
      <c r="H38" s="567"/>
      <c r="I38" s="429"/>
      <c r="J38" s="567"/>
      <c r="K38" s="429"/>
      <c r="L38" s="567"/>
      <c r="M38" s="774" t="s">
        <v>56</v>
      </c>
      <c r="N38" s="575"/>
      <c r="O38" s="417"/>
      <c r="P38" s="417"/>
      <c r="Q38" s="417"/>
      <c r="R38" s="417"/>
    </row>
    <row r="39" spans="1:18" ht="13.5" thickBot="1" x14ac:dyDescent="0.25">
      <c r="A39" s="576"/>
      <c r="B39" s="577"/>
      <c r="C39" s="578"/>
      <c r="D39" s="577"/>
      <c r="E39" s="578"/>
      <c r="F39" s="577"/>
      <c r="G39" s="578"/>
      <c r="H39" s="577"/>
      <c r="I39" s="579"/>
      <c r="J39" s="577"/>
      <c r="K39" s="579"/>
      <c r="L39" s="580"/>
      <c r="M39" s="775" t="str">
        <f>HYPERLINK("https://kaart.delfi.ee/?bookmark=236e0f8de3f3d8e7138807663f9b5d14","Voka petangihall")</f>
        <v>Voka petangihall</v>
      </c>
      <c r="N39" s="581"/>
      <c r="O39" s="417"/>
      <c r="P39" s="417"/>
      <c r="Q39" s="417"/>
      <c r="R39" s="417"/>
    </row>
    <row r="40" spans="1:18" x14ac:dyDescent="0.2">
      <c r="A40" s="571"/>
      <c r="B40" s="582">
        <v>20</v>
      </c>
      <c r="C40" s="571"/>
      <c r="D40" s="572">
        <v>21</v>
      </c>
      <c r="E40" s="571"/>
      <c r="F40" s="582">
        <v>22</v>
      </c>
      <c r="G40" s="571"/>
      <c r="H40" s="572">
        <v>23</v>
      </c>
      <c r="I40" s="777" t="str">
        <f>HYPERLINK("#'V-jh'!$A$5","''Jõuluhane''")</f>
        <v>''Jõuluhane''</v>
      </c>
      <c r="J40" s="704">
        <v>24</v>
      </c>
      <c r="K40" s="571"/>
      <c r="L40" s="704">
        <v>25</v>
      </c>
      <c r="M40" s="434"/>
      <c r="N40" s="704">
        <v>26</v>
      </c>
      <c r="O40" s="417"/>
      <c r="P40" s="417"/>
      <c r="Q40" s="417"/>
      <c r="R40" s="417"/>
    </row>
    <row r="41" spans="1:18" x14ac:dyDescent="0.2">
      <c r="A41" s="484"/>
      <c r="B41" s="429"/>
      <c r="C41" s="484"/>
      <c r="D41" s="567"/>
      <c r="E41" s="484"/>
      <c r="F41" s="429"/>
      <c r="G41" s="484"/>
      <c r="H41" s="567"/>
      <c r="I41" s="778" t="s">
        <v>239</v>
      </c>
      <c r="J41" s="583"/>
      <c r="K41" s="484"/>
      <c r="L41" s="550"/>
      <c r="M41" s="439"/>
      <c r="N41" s="529"/>
      <c r="O41" s="417"/>
      <c r="P41" s="417"/>
      <c r="Q41" s="417"/>
      <c r="R41" s="417"/>
    </row>
    <row r="42" spans="1:18" ht="13.5" thickBot="1" x14ac:dyDescent="0.25">
      <c r="A42" s="576"/>
      <c r="B42" s="578"/>
      <c r="C42" s="576"/>
      <c r="D42" s="577"/>
      <c r="E42" s="584"/>
      <c r="F42" s="577"/>
      <c r="G42" s="576"/>
      <c r="H42" s="577"/>
      <c r="I42" s="779" t="s">
        <v>238</v>
      </c>
      <c r="J42" s="585"/>
      <c r="K42" s="586"/>
      <c r="L42" s="587"/>
      <c r="M42" s="445"/>
      <c r="N42" s="588"/>
      <c r="O42" s="417"/>
      <c r="P42" s="417"/>
      <c r="Q42" s="417"/>
      <c r="R42" s="417"/>
    </row>
    <row r="43" spans="1:18" x14ac:dyDescent="0.2">
      <c r="A43" s="571"/>
      <c r="B43" s="582">
        <v>27</v>
      </c>
      <c r="C43" s="571"/>
      <c r="D43" s="582">
        <v>28</v>
      </c>
      <c r="E43" s="571"/>
      <c r="F43" s="589">
        <v>29</v>
      </c>
      <c r="G43" s="590"/>
      <c r="H43" s="589">
        <v>30</v>
      </c>
      <c r="I43" s="591"/>
      <c r="J43" s="589">
        <v>31</v>
      </c>
      <c r="K43" s="592"/>
      <c r="L43" s="417"/>
      <c r="M43" s="417"/>
      <c r="N43" s="417"/>
      <c r="O43" s="417"/>
      <c r="P43" s="417"/>
      <c r="Q43" s="417"/>
      <c r="R43" s="417"/>
    </row>
    <row r="44" spans="1:18" ht="13.5" thickBot="1" x14ac:dyDescent="0.25">
      <c r="A44" s="484"/>
      <c r="B44" s="429"/>
      <c r="C44" s="484"/>
      <c r="D44" s="567"/>
      <c r="E44" s="484"/>
      <c r="F44" s="429"/>
      <c r="G44" s="548"/>
      <c r="H44" s="567"/>
      <c r="I44" s="484"/>
      <c r="J44" s="429"/>
      <c r="K44" s="593"/>
      <c r="L44" s="417"/>
      <c r="M44" s="417"/>
      <c r="N44" s="417"/>
      <c r="O44" s="417"/>
      <c r="P44" s="417"/>
      <c r="Q44" s="417"/>
      <c r="R44" s="417"/>
    </row>
    <row r="45" spans="1:18" ht="13.5" thickBot="1" x14ac:dyDescent="0.25">
      <c r="A45" s="576"/>
      <c r="B45" s="579"/>
      <c r="C45" s="576"/>
      <c r="D45" s="577"/>
      <c r="E45" s="576"/>
      <c r="F45" s="594"/>
      <c r="G45" s="595"/>
      <c r="H45" s="577"/>
      <c r="I45" s="576"/>
      <c r="J45" s="594"/>
      <c r="K45" s="596"/>
      <c r="L45" s="704">
        <v>1</v>
      </c>
      <c r="M45" s="590"/>
      <c r="N45" s="538">
        <v>2</v>
      </c>
      <c r="O45" s="417"/>
      <c r="P45" s="417"/>
      <c r="Q45" s="417"/>
      <c r="R45" s="417"/>
    </row>
    <row r="46" spans="1:18" x14ac:dyDescent="0.2">
      <c r="A46" s="597" t="s">
        <v>246</v>
      </c>
      <c r="B46" s="598"/>
      <c r="C46" s="599"/>
      <c r="D46" s="600"/>
      <c r="E46" s="229"/>
      <c r="F46" s="550"/>
      <c r="G46" s="601"/>
      <c r="H46" s="504"/>
      <c r="I46" s="550"/>
      <c r="J46" s="416"/>
      <c r="K46" s="602"/>
      <c r="L46" s="550"/>
      <c r="M46" s="548"/>
      <c r="N46" s="499"/>
      <c r="O46" s="417"/>
      <c r="P46" s="417"/>
      <c r="Q46" s="417"/>
      <c r="R46" s="417"/>
    </row>
    <row r="47" spans="1:18" ht="13.5" thickBot="1" x14ac:dyDescent="0.25">
      <c r="A47" s="417"/>
      <c r="B47" s="417"/>
      <c r="C47" s="417"/>
      <c r="D47" s="417"/>
      <c r="E47" s="417"/>
      <c r="F47" s="417"/>
      <c r="G47" s="417"/>
      <c r="H47" s="417"/>
      <c r="I47" s="417"/>
      <c r="J47" s="417"/>
      <c r="K47" s="603"/>
      <c r="L47" s="559"/>
      <c r="M47" s="586"/>
      <c r="N47" s="587"/>
      <c r="O47" s="417"/>
      <c r="P47" s="417"/>
      <c r="Q47" s="417"/>
      <c r="R47" s="417"/>
    </row>
    <row r="48" spans="1:18" x14ac:dyDescent="0.2">
      <c r="A48" s="537"/>
      <c r="B48" s="538">
        <v>3</v>
      </c>
      <c r="C48" s="539"/>
      <c r="D48" s="538">
        <v>4</v>
      </c>
      <c r="E48" s="537"/>
      <c r="F48" s="538">
        <v>5</v>
      </c>
      <c r="G48" s="604"/>
      <c r="H48" s="538">
        <v>6</v>
      </c>
      <c r="I48" s="605"/>
      <c r="J48" s="538">
        <v>7</v>
      </c>
      <c r="K48" s="780" t="str">
        <f>HYPERLINK("https://www.petanque.ee/index.php?id=103820&amp;cid=867","5. Klubide sari, 1. etapp")</f>
        <v>5. Klubide sari, 1. etapp</v>
      </c>
      <c r="L48" s="606">
        <v>8</v>
      </c>
      <c r="M48" s="773" t="str">
        <f>HYPERLINK("#V3!$A$5","Voka IV sise-KV 3. etapp")</f>
        <v>Voka IV sise-KV 3. etapp</v>
      </c>
      <c r="N48" s="606">
        <v>9</v>
      </c>
      <c r="O48" s="417"/>
      <c r="P48" s="417"/>
      <c r="Q48" s="417"/>
      <c r="R48" s="417"/>
    </row>
    <row r="49" spans="1:18" s="608" customFormat="1" x14ac:dyDescent="0.2">
      <c r="A49" s="548"/>
      <c r="B49" s="499"/>
      <c r="C49" s="229"/>
      <c r="D49" s="499"/>
      <c r="E49" s="548"/>
      <c r="F49" s="550"/>
      <c r="G49" s="607"/>
      <c r="H49" s="499"/>
      <c r="I49" s="550"/>
      <c r="J49" s="499"/>
      <c r="K49" s="608" t="s">
        <v>218</v>
      </c>
      <c r="L49" s="550"/>
      <c r="M49" s="773" t="s">
        <v>55</v>
      </c>
      <c r="N49" s="569"/>
      <c r="O49" s="472"/>
      <c r="P49" s="472"/>
      <c r="Q49" s="472"/>
      <c r="R49" s="472"/>
    </row>
    <row r="50" spans="1:18" s="608" customFormat="1" x14ac:dyDescent="0.2">
      <c r="A50" s="548"/>
      <c r="B50" s="499"/>
      <c r="C50" s="229"/>
      <c r="D50" s="499"/>
      <c r="E50" s="548"/>
      <c r="F50" s="550"/>
      <c r="G50" s="607"/>
      <c r="H50" s="499"/>
      <c r="I50" s="550"/>
      <c r="J50" s="499"/>
      <c r="K50" s="608" t="s">
        <v>290</v>
      </c>
      <c r="L50" s="550"/>
      <c r="M50" s="773"/>
      <c r="N50" s="569"/>
      <c r="O50" s="472"/>
      <c r="P50" s="472"/>
      <c r="Q50" s="472"/>
      <c r="R50" s="472"/>
    </row>
    <row r="51" spans="1:18" s="608" customFormat="1" ht="13.5" thickBot="1" x14ac:dyDescent="0.25">
      <c r="A51" s="548"/>
      <c r="B51" s="499"/>
      <c r="C51" s="229"/>
      <c r="D51" s="499"/>
      <c r="E51" s="548"/>
      <c r="F51" s="550"/>
      <c r="G51" s="607"/>
      <c r="H51" s="499"/>
      <c r="I51" s="550"/>
      <c r="J51" s="499"/>
      <c r="K51" s="781" t="str">
        <f>HYPERLINK("https://kaart.delfi.ee/?bookmark=73a75c2d8ed4a34c764e205c87288d20","Harku, Pikk 19")</f>
        <v>Harku, Pikk 19</v>
      </c>
      <c r="L51" s="587"/>
      <c r="M51" s="775" t="str">
        <f>HYPERLINK("https://kaart.delfi.ee/?bookmark=236e0f8de3f3d8e7138807663f9b5d14","Voka petangihall")</f>
        <v>Voka petangihall</v>
      </c>
      <c r="N51" s="569"/>
      <c r="O51" s="472"/>
      <c r="P51" s="472"/>
      <c r="Q51" s="472"/>
      <c r="R51" s="472"/>
    </row>
    <row r="52" spans="1:18" x14ac:dyDescent="0.2">
      <c r="A52" s="537"/>
      <c r="B52" s="538">
        <v>10</v>
      </c>
      <c r="C52" s="539"/>
      <c r="D52" s="538">
        <v>11</v>
      </c>
      <c r="E52" s="609"/>
      <c r="F52" s="538">
        <v>12</v>
      </c>
      <c r="G52" s="604"/>
      <c r="H52" s="538">
        <v>13</v>
      </c>
      <c r="I52" s="605"/>
      <c r="J52" s="610">
        <v>14</v>
      </c>
      <c r="K52" s="611" t="str">
        <f>HYPERLINK("https://www.petanque.ee/index.php?id=103820&amp;cid=868","Eesti Masters 2022")</f>
        <v>Eesti Masters 2022</v>
      </c>
      <c r="L52" s="538">
        <v>15</v>
      </c>
      <c r="M52" s="976" t="str">
        <f>HYPERLINK("#'iv-d'!$A$5","Ida-Virumaa sise-MV")</f>
        <v>Ida-Virumaa sise-MV</v>
      </c>
      <c r="N52" s="538">
        <v>16</v>
      </c>
      <c r="O52" s="417"/>
      <c r="P52" s="417"/>
      <c r="Q52" s="417"/>
      <c r="R52" s="417"/>
    </row>
    <row r="53" spans="1:18" x14ac:dyDescent="0.2">
      <c r="A53" s="548"/>
      <c r="B53" s="612"/>
      <c r="C53" s="229"/>
      <c r="D53" s="612"/>
      <c r="E53" s="500"/>
      <c r="F53" s="612"/>
      <c r="G53" s="502"/>
      <c r="H53" s="612"/>
      <c r="I53" s="504"/>
      <c r="J53" s="613"/>
      <c r="K53" s="608" t="s">
        <v>56</v>
      </c>
      <c r="L53" s="499"/>
      <c r="M53" s="771" t="s">
        <v>55</v>
      </c>
      <c r="N53" s="614"/>
      <c r="O53" s="417"/>
      <c r="P53" s="417"/>
      <c r="Q53" s="417"/>
      <c r="R53" s="417"/>
    </row>
    <row r="54" spans="1:18" ht="13.5" thickBot="1" x14ac:dyDescent="0.25">
      <c r="A54" s="595"/>
      <c r="B54" s="587"/>
      <c r="C54" s="615"/>
      <c r="D54" s="587"/>
      <c r="E54" s="595"/>
      <c r="F54" s="587"/>
      <c r="G54" s="616"/>
      <c r="H54" s="587"/>
      <c r="I54" s="559"/>
      <c r="J54" s="617"/>
      <c r="K54" s="618" t="str">
        <f>HYPERLINK("https://kaart.delfi.ee/?bookmark=73a75c2d8ed4a34c764e205c87288d20","Harku, Pikk 19")</f>
        <v>Harku, Pikk 19</v>
      </c>
      <c r="L54" s="587"/>
      <c r="M54" s="772" t="str">
        <f>HYPERLINK("https://kaart.delfi.ee/?bookmark=236e0f8de3f3d8e7138807663f9b5d14","Voka petangihall")</f>
        <v>Voka petangihall</v>
      </c>
      <c r="N54" s="619"/>
      <c r="O54" s="417"/>
      <c r="P54" s="417"/>
      <c r="Q54" s="417"/>
      <c r="R54" s="417"/>
    </row>
    <row r="55" spans="1:18" x14ac:dyDescent="0.2">
      <c r="A55" s="537"/>
      <c r="B55" s="538">
        <v>17</v>
      </c>
      <c r="C55" s="539"/>
      <c r="D55" s="620">
        <v>18</v>
      </c>
      <c r="E55" s="609"/>
      <c r="F55" s="538">
        <v>19</v>
      </c>
      <c r="G55" s="604"/>
      <c r="H55" s="620">
        <v>20</v>
      </c>
      <c r="I55" s="621"/>
      <c r="J55" s="538">
        <v>21</v>
      </c>
      <c r="K55" s="401" t="str">
        <f>HYPERLINK("https://www.petanque.ee/index.php?id=103820&amp;cid=933","Open tournament ''Doubles''")</f>
        <v>Open tournament ''Doubles''</v>
      </c>
      <c r="L55" s="620">
        <v>22</v>
      </c>
      <c r="M55" s="401" t="str">
        <f>HYPERLINK("https://www.petanque.ee/index.php?id=103820&amp;cid=934","Winters Trio")</f>
        <v>Winters Trio</v>
      </c>
      <c r="N55" s="538">
        <v>23</v>
      </c>
      <c r="O55" s="417"/>
      <c r="P55" s="417"/>
      <c r="Q55" s="417"/>
      <c r="R55" s="417"/>
    </row>
    <row r="56" spans="1:18" x14ac:dyDescent="0.2">
      <c r="A56" s="548"/>
      <c r="B56" s="499"/>
      <c r="C56" s="229"/>
      <c r="D56" s="550"/>
      <c r="E56" s="500"/>
      <c r="F56" s="501"/>
      <c r="G56" s="502"/>
      <c r="H56" s="504"/>
      <c r="I56" s="484"/>
      <c r="J56" s="622"/>
      <c r="K56" s="403" t="s">
        <v>55</v>
      </c>
      <c r="L56" s="499"/>
      <c r="M56" s="403" t="s">
        <v>56</v>
      </c>
      <c r="N56" s="499"/>
      <c r="O56" s="417"/>
      <c r="P56" s="417"/>
      <c r="Q56" s="417"/>
      <c r="R56" s="417"/>
    </row>
    <row r="57" spans="1:18" ht="13.5" thickBot="1" x14ac:dyDescent="0.25">
      <c r="A57" s="595"/>
      <c r="B57" s="587"/>
      <c r="C57" s="615"/>
      <c r="D57" s="559"/>
      <c r="E57" s="623"/>
      <c r="F57" s="557"/>
      <c r="G57" s="558"/>
      <c r="H57" s="624"/>
      <c r="I57" s="625"/>
      <c r="J57" s="557"/>
      <c r="K57" s="782" t="str">
        <f>HYPERLINK("https://kaart.delfi.ee/?bookmark=73a75c2d8ed4a34c764e205c87288d20","Harku, Pikk 19")</f>
        <v>Harku, Pikk 19</v>
      </c>
      <c r="L57" s="735"/>
      <c r="M57" s="781" t="str">
        <f>HYPERLINK("https://kaart.delfi.ee/?bookmark=73a75c2d8ed4a34c764e205c87288d20","Harku, Pikk 19")</f>
        <v>Harku, Pikk 19</v>
      </c>
      <c r="N57" s="587"/>
      <c r="O57" s="417"/>
      <c r="P57" s="417"/>
      <c r="Q57" s="417"/>
      <c r="R57" s="417"/>
    </row>
    <row r="58" spans="1:18" x14ac:dyDescent="0.2">
      <c r="A58" s="537"/>
      <c r="B58" s="538">
        <v>24</v>
      </c>
      <c r="C58" s="539"/>
      <c r="D58" s="620">
        <v>25</v>
      </c>
      <c r="E58" s="609"/>
      <c r="F58" s="538">
        <v>26</v>
      </c>
      <c r="G58" s="604"/>
      <c r="H58" s="620">
        <v>27</v>
      </c>
      <c r="I58" s="621"/>
      <c r="J58" s="538">
        <v>28</v>
      </c>
      <c r="K58" s="548"/>
      <c r="L58" s="626">
        <v>29</v>
      </c>
      <c r="M58" s="773" t="str">
        <f>HYPERLINK("#V4!$A$5","Voka IV sise-KV 4. etapp")</f>
        <v>Voka IV sise-KV 4. etapp</v>
      </c>
      <c r="N58" s="606">
        <v>30</v>
      </c>
      <c r="O58" s="417"/>
      <c r="P58" s="417"/>
      <c r="Q58" s="417"/>
      <c r="R58" s="417"/>
    </row>
    <row r="59" spans="1:18" x14ac:dyDescent="0.2">
      <c r="A59" s="548"/>
      <c r="B59" s="499"/>
      <c r="C59" s="229"/>
      <c r="D59" s="550"/>
      <c r="E59" s="500"/>
      <c r="F59" s="501"/>
      <c r="G59" s="502"/>
      <c r="H59" s="504"/>
      <c r="I59" s="484"/>
      <c r="J59" s="622"/>
      <c r="K59" s="548"/>
      <c r="L59" s="499"/>
      <c r="M59" s="774" t="s">
        <v>56</v>
      </c>
      <c r="N59" s="569"/>
      <c r="O59" s="417"/>
      <c r="P59" s="417"/>
      <c r="Q59" s="417"/>
      <c r="R59" s="417"/>
    </row>
    <row r="60" spans="1:18" ht="13.5" thickBot="1" x14ac:dyDescent="0.25">
      <c r="A60" s="595"/>
      <c r="B60" s="587"/>
      <c r="C60" s="615"/>
      <c r="D60" s="559"/>
      <c r="E60" s="623"/>
      <c r="F60" s="557"/>
      <c r="G60" s="558"/>
      <c r="H60" s="624"/>
      <c r="I60" s="625"/>
      <c r="J60" s="557"/>
      <c r="K60" s="595"/>
      <c r="L60" s="587"/>
      <c r="M60" s="783" t="str">
        <f>HYPERLINK("https://kaart.delfi.ee/?bookmark=236e0f8de3f3d8e7138807663f9b5d14","Voka petangihall")</f>
        <v>Voka petangihall</v>
      </c>
      <c r="N60" s="627"/>
      <c r="O60" s="417"/>
      <c r="P60" s="417"/>
      <c r="Q60" s="417"/>
      <c r="R60" s="417"/>
    </row>
    <row r="61" spans="1:18" ht="13.5" thickBot="1" x14ac:dyDescent="0.25">
      <c r="A61" s="597" t="s">
        <v>247</v>
      </c>
      <c r="B61" s="598"/>
      <c r="C61" s="599"/>
      <c r="D61" s="427"/>
      <c r="E61" s="428"/>
      <c r="F61" s="428"/>
      <c r="G61" s="429"/>
      <c r="H61" s="429"/>
      <c r="I61" s="429"/>
      <c r="J61" s="429"/>
      <c r="K61" s="429"/>
      <c r="L61" s="429"/>
      <c r="M61" s="628"/>
      <c r="N61" s="429"/>
      <c r="O61" s="417"/>
      <c r="P61" s="417"/>
      <c r="Q61" s="417"/>
      <c r="R61" s="417"/>
    </row>
    <row r="62" spans="1:18" x14ac:dyDescent="0.2">
      <c r="A62" s="537"/>
      <c r="B62" s="540">
        <v>31</v>
      </c>
      <c r="C62" s="539"/>
      <c r="D62" s="541">
        <v>1</v>
      </c>
      <c r="E62" s="542"/>
      <c r="F62" s="543">
        <v>2</v>
      </c>
      <c r="G62" s="629"/>
      <c r="H62" s="543">
        <v>3</v>
      </c>
      <c r="I62" s="629"/>
      <c r="J62" s="630">
        <v>4</v>
      </c>
      <c r="K62" s="401" t="str">
        <f>HYPERLINK("https://www.petanque.ee/index.php?id=103820&amp;cid=869","MM katsevõistlused")</f>
        <v>MM katsevõistlused</v>
      </c>
      <c r="L62" s="541">
        <v>5</v>
      </c>
      <c r="M62" s="401" t="str">
        <f>HYPERLINK("https://www.petanque.ee/index.php?id=103820&amp;cid=870","MM katsevõistlused")</f>
        <v>MM katsevõistlused</v>
      </c>
      <c r="N62" s="541">
        <v>6</v>
      </c>
      <c r="O62" s="417"/>
      <c r="P62" s="417"/>
      <c r="Q62" s="417"/>
      <c r="R62" s="417"/>
    </row>
    <row r="63" spans="1:18" x14ac:dyDescent="0.2">
      <c r="A63" s="548"/>
      <c r="B63" s="549"/>
      <c r="C63" s="229"/>
      <c r="D63" s="499"/>
      <c r="E63" s="548"/>
      <c r="F63" s="550"/>
      <c r="G63" s="548"/>
      <c r="H63" s="550"/>
      <c r="I63" s="607"/>
      <c r="J63" s="549"/>
      <c r="K63" s="402" t="s">
        <v>304</v>
      </c>
      <c r="L63" s="499"/>
      <c r="M63" s="402" t="s">
        <v>304</v>
      </c>
      <c r="N63" s="499"/>
      <c r="O63" s="417"/>
      <c r="P63" s="417"/>
      <c r="Q63" s="417"/>
      <c r="R63" s="417"/>
    </row>
    <row r="64" spans="1:18" x14ac:dyDescent="0.2">
      <c r="A64" s="548"/>
      <c r="B64" s="549"/>
      <c r="C64" s="229"/>
      <c r="D64" s="499"/>
      <c r="E64" s="548"/>
      <c r="F64" s="550"/>
      <c r="G64" s="548"/>
      <c r="H64" s="550"/>
      <c r="I64" s="607"/>
      <c r="J64" s="549"/>
      <c r="K64" s="618" t="str">
        <f>HYPERLINK("https://kaart.delfi.ee/?bookmark=73a75c2d8ed4a34c764e205c87288d20","Harku, Pikk 19")</f>
        <v>Harku, Pikk 19</v>
      </c>
      <c r="L64" s="499"/>
      <c r="M64" s="784" t="str">
        <f>HYPERLINK("https://kaart.delfi.ee/?bookmark=73a75c2d8ed4a34c764e205c87288d20","Harku, Pikk 19")</f>
        <v>Harku, Pikk 19</v>
      </c>
      <c r="N64" s="652"/>
      <c r="O64" s="417"/>
      <c r="P64" s="417"/>
      <c r="Q64" s="417"/>
      <c r="R64" s="417"/>
    </row>
    <row r="65" spans="1:18" x14ac:dyDescent="0.2">
      <c r="A65" s="548"/>
      <c r="B65" s="549"/>
      <c r="C65" s="229"/>
      <c r="D65" s="499"/>
      <c r="E65" s="548"/>
      <c r="F65" s="550"/>
      <c r="G65" s="548"/>
      <c r="H65" s="550"/>
      <c r="I65" s="607"/>
      <c r="J65" s="549"/>
      <c r="K65" s="402"/>
      <c r="L65" s="499"/>
      <c r="M65" s="785" t="str">
        <f>HYPERLINK("#V5!$A$5","Voka IV sise-KV 5. etapp")</f>
        <v>Voka IV sise-KV 5. etapp</v>
      </c>
      <c r="N65" s="712"/>
      <c r="O65" s="417"/>
      <c r="P65" s="417"/>
      <c r="Q65" s="417"/>
      <c r="R65" s="417"/>
    </row>
    <row r="66" spans="1:18" x14ac:dyDescent="0.2">
      <c r="A66" s="548"/>
      <c r="B66" s="549"/>
      <c r="C66" s="229"/>
      <c r="D66" s="499"/>
      <c r="E66" s="548"/>
      <c r="F66" s="550"/>
      <c r="G66" s="548"/>
      <c r="H66" s="550"/>
      <c r="I66" s="607"/>
      <c r="J66" s="549"/>
      <c r="K66" s="402"/>
      <c r="L66" s="499"/>
      <c r="M66" s="774" t="s">
        <v>56</v>
      </c>
      <c r="N66" s="569"/>
      <c r="O66" s="417"/>
      <c r="P66" s="417"/>
      <c r="Q66" s="417"/>
      <c r="R66" s="417"/>
    </row>
    <row r="67" spans="1:18" ht="13.5" thickBot="1" x14ac:dyDescent="0.25">
      <c r="A67" s="552"/>
      <c r="B67" s="555"/>
      <c r="C67" s="229"/>
      <c r="D67" s="499"/>
      <c r="E67" s="548"/>
      <c r="F67" s="550"/>
      <c r="G67" s="548"/>
      <c r="H67" s="550"/>
      <c r="I67" s="607"/>
      <c r="J67" s="549"/>
      <c r="L67" s="499"/>
      <c r="M67" s="783" t="str">
        <f>HYPERLINK("https://kaart.delfi.ee/?bookmark=236e0f8de3f3d8e7138807663f9b5d14","Voka petangihall")</f>
        <v>Voka petangihall</v>
      </c>
      <c r="N67" s="569"/>
      <c r="O67" s="417"/>
      <c r="P67" s="417"/>
      <c r="Q67" s="417"/>
      <c r="R67" s="417"/>
    </row>
    <row r="68" spans="1:18" ht="13.5" thickTop="1" x14ac:dyDescent="0.2">
      <c r="A68" s="548"/>
      <c r="B68" s="606">
        <v>7</v>
      </c>
      <c r="C68" s="537"/>
      <c r="D68" s="538">
        <v>8</v>
      </c>
      <c r="E68" s="537"/>
      <c r="F68" s="538">
        <v>9</v>
      </c>
      <c r="G68" s="631"/>
      <c r="H68" s="538">
        <v>10</v>
      </c>
      <c r="I68" s="631"/>
      <c r="J68" s="538">
        <v>11</v>
      </c>
      <c r="K68" s="537"/>
      <c r="L68" s="538">
        <v>12</v>
      </c>
      <c r="M68" s="611"/>
      <c r="N68" s="538">
        <v>13</v>
      </c>
      <c r="O68" s="417"/>
      <c r="P68" s="417"/>
      <c r="Q68" s="417"/>
      <c r="R68" s="417"/>
    </row>
    <row r="69" spans="1:18" x14ac:dyDescent="0.2">
      <c r="A69" s="548"/>
      <c r="B69" s="499"/>
      <c r="C69" s="548"/>
      <c r="D69" s="601"/>
      <c r="E69" s="548"/>
      <c r="F69" s="499"/>
      <c r="G69" s="607"/>
      <c r="H69" s="499"/>
      <c r="I69" s="607"/>
      <c r="J69" s="499"/>
      <c r="K69" s="548"/>
      <c r="L69" s="499"/>
      <c r="M69" s="632"/>
      <c r="N69" s="499"/>
      <c r="O69" s="417"/>
      <c r="P69" s="417"/>
      <c r="Q69" s="417"/>
      <c r="R69" s="417"/>
    </row>
    <row r="70" spans="1:18" ht="13.5" thickBot="1" x14ac:dyDescent="0.25">
      <c r="A70" s="548"/>
      <c r="B70" s="499"/>
      <c r="C70" s="548"/>
      <c r="D70" s="601"/>
      <c r="E70" s="548"/>
      <c r="F70" s="499"/>
      <c r="G70" s="607"/>
      <c r="H70" s="499"/>
      <c r="I70" s="633"/>
      <c r="J70" s="634"/>
      <c r="K70" s="635"/>
      <c r="L70" s="580"/>
      <c r="M70" s="636"/>
      <c r="N70" s="580"/>
      <c r="O70" s="417"/>
    </row>
    <row r="71" spans="1:18" ht="15.75" x14ac:dyDescent="0.25">
      <c r="A71" s="542"/>
      <c r="B71" s="541">
        <v>14</v>
      </c>
      <c r="C71" s="542"/>
      <c r="D71" s="541">
        <v>15</v>
      </c>
      <c r="E71" s="542"/>
      <c r="F71" s="541">
        <v>16</v>
      </c>
      <c r="G71" s="629"/>
      <c r="H71" s="541">
        <v>17</v>
      </c>
      <c r="I71" s="607"/>
      <c r="J71" s="606">
        <v>18</v>
      </c>
      <c r="K71" s="786" t="s">
        <v>320</v>
      </c>
      <c r="L71" s="606">
        <v>19</v>
      </c>
      <c r="M71" s="725" t="s">
        <v>315</v>
      </c>
      <c r="N71" s="606">
        <v>20</v>
      </c>
      <c r="O71" s="417"/>
    </row>
    <row r="72" spans="1:18" x14ac:dyDescent="0.2">
      <c r="A72" s="548"/>
      <c r="B72" s="499"/>
      <c r="C72" s="548"/>
      <c r="D72" s="499"/>
      <c r="E72" s="548"/>
      <c r="F72" s="499"/>
      <c r="G72" s="607"/>
      <c r="H72" s="499"/>
      <c r="I72" s="607"/>
      <c r="J72" s="499"/>
      <c r="K72" s="786"/>
      <c r="L72" s="513"/>
      <c r="M72" s="787" t="s">
        <v>56</v>
      </c>
      <c r="N72" s="726"/>
      <c r="O72" s="417"/>
    </row>
    <row r="73" spans="1:18" ht="13.5" thickBot="1" x14ac:dyDescent="0.25">
      <c r="A73" s="548"/>
      <c r="B73" s="499"/>
      <c r="C73" s="548"/>
      <c r="D73" s="499"/>
      <c r="E73" s="548"/>
      <c r="F73" s="499"/>
      <c r="G73" s="607"/>
      <c r="H73" s="499"/>
      <c r="I73" s="607"/>
      <c r="J73" s="499"/>
      <c r="K73" s="769" t="str">
        <f>HYPERLINK("https://kaart.delfi.ee/?bookmark=236e0f8de3f3d8e7138807663f9b5d14","Voka petangihall")</f>
        <v>Voka petangihall</v>
      </c>
      <c r="L73" s="513"/>
      <c r="M73" s="788" t="str">
        <f>HYPERLINK("https://kaart.delfi.ee/?bookmark=236e0f8de3f3d8e7138807663f9b5d14","Voka petangihall")</f>
        <v>Voka petangihall</v>
      </c>
      <c r="N73" s="727" t="str">
        <f>HYPERLINK("http://petanque.planet.ee/kundapetank/userfiles/downloads/EW104.pdf","juh")</f>
        <v>juh</v>
      </c>
      <c r="O73" s="417"/>
    </row>
    <row r="74" spans="1:18" x14ac:dyDescent="0.2">
      <c r="A74" s="537"/>
      <c r="B74" s="538">
        <v>21</v>
      </c>
      <c r="C74" s="537"/>
      <c r="D74" s="538">
        <v>22</v>
      </c>
      <c r="E74" s="537"/>
      <c r="F74" s="538">
        <v>23</v>
      </c>
      <c r="G74" s="789" t="s">
        <v>323</v>
      </c>
      <c r="H74" s="705">
        <v>24</v>
      </c>
      <c r="I74" s="611"/>
      <c r="J74" s="538">
        <v>25</v>
      </c>
      <c r="K74" s="401" t="str">
        <f>HYPERLINK("https://www.petanque.ee/index.php?id=103820&amp;cid=871","Estonian Open")</f>
        <v>Estonian Open</v>
      </c>
      <c r="L74" s="620">
        <v>26</v>
      </c>
      <c r="M74" s="611"/>
      <c r="N74" s="538">
        <v>27</v>
      </c>
      <c r="O74" s="417"/>
    </row>
    <row r="75" spans="1:18" x14ac:dyDescent="0.2">
      <c r="A75" s="548"/>
      <c r="B75" s="499"/>
      <c r="C75" s="548"/>
      <c r="D75" s="499"/>
      <c r="E75" s="548"/>
      <c r="F75" s="499"/>
      <c r="G75" s="786" t="s">
        <v>322</v>
      </c>
      <c r="H75" s="730"/>
      <c r="I75" s="637"/>
      <c r="J75" s="499"/>
      <c r="K75" s="404" t="s">
        <v>56</v>
      </c>
      <c r="L75" s="720" t="str">
        <f>HYPERLINK("https://www.facebook.com/events/969242237025164/","fb")</f>
        <v>fb</v>
      </c>
      <c r="M75" s="638"/>
      <c r="N75" s="499"/>
      <c r="O75" s="417"/>
    </row>
    <row r="76" spans="1:18" ht="13.5" thickBot="1" x14ac:dyDescent="0.25">
      <c r="A76" s="595"/>
      <c r="B76" s="587"/>
      <c r="C76" s="595"/>
      <c r="D76" s="587"/>
      <c r="E76" s="595"/>
      <c r="F76" s="587"/>
      <c r="G76" s="769" t="str">
        <f>HYPERLINK("https://kaart.delfi.ee/?bookmark=236e0f8de3f3d8e7138807663f9b5d14","Voka petangihall")</f>
        <v>Voka petangihall</v>
      </c>
      <c r="H76" s="731"/>
      <c r="I76" s="639"/>
      <c r="J76" s="587"/>
      <c r="K76" s="781" t="str">
        <f>HYPERLINK("https://kaart.delfi.ee/?bookmark=73a75c2d8ed4a34c764e205c87288d20","Harku, Pikk 19")</f>
        <v>Harku, Pikk 19</v>
      </c>
      <c r="L76" s="640"/>
      <c r="M76" s="639"/>
      <c r="N76" s="587"/>
      <c r="O76" s="472"/>
    </row>
    <row r="77" spans="1:18" ht="13.5" thickBot="1" x14ac:dyDescent="0.25">
      <c r="A77" s="641" t="s">
        <v>299</v>
      </c>
      <c r="B77" s="598"/>
      <c r="C77" s="599"/>
      <c r="D77" s="600"/>
      <c r="E77" s="229"/>
      <c r="F77" s="550"/>
      <c r="G77" s="229"/>
      <c r="H77" s="550"/>
      <c r="I77" s="229"/>
      <c r="J77" s="550"/>
      <c r="K77" s="417"/>
      <c r="L77" s="417"/>
      <c r="M77" s="417"/>
      <c r="N77" s="417"/>
      <c r="O77" s="417"/>
      <c r="P77" s="417"/>
      <c r="Q77" s="417"/>
      <c r="R77" s="417"/>
    </row>
    <row r="78" spans="1:18" x14ac:dyDescent="0.2">
      <c r="A78" s="590"/>
      <c r="B78" s="540">
        <v>28</v>
      </c>
      <c r="C78" s="642"/>
      <c r="D78" s="541">
        <v>1</v>
      </c>
      <c r="E78" s="571"/>
      <c r="F78" s="541">
        <v>2</v>
      </c>
      <c r="G78" s="571"/>
      <c r="H78" s="541">
        <v>3</v>
      </c>
      <c r="I78" s="571"/>
      <c r="J78" s="541">
        <v>4</v>
      </c>
      <c r="K78" s="571"/>
      <c r="L78" s="541">
        <v>5</v>
      </c>
      <c r="M78" s="770" t="str">
        <f>HYPERLINK("#'iv-t'!$A$5","Ida-Virumaa sise-MV")</f>
        <v>Ida-Virumaa sise-MV</v>
      </c>
      <c r="N78" s="541">
        <v>6</v>
      </c>
      <c r="O78" s="417"/>
      <c r="P78" s="417"/>
      <c r="Q78" s="417"/>
      <c r="R78" s="472"/>
    </row>
    <row r="79" spans="1:18" x14ac:dyDescent="0.2">
      <c r="A79" s="484"/>
      <c r="B79" s="549"/>
      <c r="C79" s="428"/>
      <c r="D79" s="499"/>
      <c r="E79" s="484"/>
      <c r="F79" s="499"/>
      <c r="G79" s="484"/>
      <c r="H79" s="499"/>
      <c r="I79" s="484"/>
      <c r="J79" s="567"/>
      <c r="K79" s="484"/>
      <c r="L79" s="710"/>
      <c r="M79" s="771" t="s">
        <v>321</v>
      </c>
      <c r="N79" s="614"/>
      <c r="O79" s="417"/>
    </row>
    <row r="80" spans="1:18" ht="13.5" thickBot="1" x14ac:dyDescent="0.25">
      <c r="A80" s="732"/>
      <c r="B80" s="555"/>
      <c r="C80" s="428"/>
      <c r="D80" s="499"/>
      <c r="E80" s="484"/>
      <c r="F80" s="499"/>
      <c r="G80" s="484"/>
      <c r="H80" s="499"/>
      <c r="I80" s="484"/>
      <c r="J80" s="567"/>
      <c r="K80" s="586"/>
      <c r="L80" s="711"/>
      <c r="M80" s="772" t="str">
        <f>HYPERLINK("https://kaart.delfi.ee/?bookmark=236e0f8de3f3d8e7138807663f9b5d14","Voka petangihall")</f>
        <v>Voka petangihall</v>
      </c>
      <c r="N80" s="614"/>
      <c r="O80" s="417"/>
    </row>
    <row r="81" spans="1:15" ht="13.5" thickTop="1" x14ac:dyDescent="0.2">
      <c r="A81" s="484"/>
      <c r="B81" s="606">
        <v>7</v>
      </c>
      <c r="C81" s="571"/>
      <c r="D81" s="643">
        <v>8</v>
      </c>
      <c r="E81" s="571"/>
      <c r="F81" s="643">
        <v>9</v>
      </c>
      <c r="G81" s="571"/>
      <c r="H81" s="643">
        <v>10</v>
      </c>
      <c r="I81" s="571"/>
      <c r="J81" s="643">
        <v>11</v>
      </c>
      <c r="K81" s="571"/>
      <c r="L81" s="643">
        <v>12</v>
      </c>
      <c r="M81" s="773" t="str">
        <f>HYPERLINK("#V6!$A$5","Voka IV sise-KV 6. etapp")</f>
        <v>Voka IV sise-KV 6. etapp</v>
      </c>
      <c r="N81" s="643">
        <v>13</v>
      </c>
      <c r="O81" s="417"/>
    </row>
    <row r="82" spans="1:15" x14ac:dyDescent="0.2">
      <c r="A82" s="484"/>
      <c r="B82" s="567"/>
      <c r="C82" s="484"/>
      <c r="D82" s="567"/>
      <c r="E82" s="484"/>
      <c r="F82" s="567"/>
      <c r="G82" s="484"/>
      <c r="H82" s="567"/>
      <c r="I82" s="484"/>
      <c r="J82" s="567"/>
      <c r="K82" s="484"/>
      <c r="L82" s="567"/>
      <c r="M82" s="774" t="s">
        <v>55</v>
      </c>
      <c r="N82" s="569"/>
      <c r="O82" s="417"/>
    </row>
    <row r="83" spans="1:15" ht="13.5" thickBot="1" x14ac:dyDescent="0.25">
      <c r="A83" s="586"/>
      <c r="B83" s="644"/>
      <c r="C83" s="586"/>
      <c r="D83" s="644"/>
      <c r="E83" s="586"/>
      <c r="F83" s="644"/>
      <c r="G83" s="586"/>
      <c r="H83" s="644"/>
      <c r="I83" s="586"/>
      <c r="J83" s="644"/>
      <c r="K83" s="586"/>
      <c r="L83" s="644"/>
      <c r="M83" s="783" t="str">
        <f>HYPERLINK("https://kaart.delfi.ee/?bookmark=236e0f8de3f3d8e7138807663f9b5d14","Voka petangihall")</f>
        <v>Voka petangihall</v>
      </c>
      <c r="N83" s="627"/>
      <c r="O83" s="417"/>
    </row>
    <row r="84" spans="1:15" x14ac:dyDescent="0.2">
      <c r="A84" s="484"/>
      <c r="B84" s="606">
        <v>14</v>
      </c>
      <c r="C84" s="484"/>
      <c r="D84" s="606">
        <v>15</v>
      </c>
      <c r="E84" s="484"/>
      <c r="F84" s="606">
        <v>16</v>
      </c>
      <c r="G84" s="484"/>
      <c r="H84" s="606">
        <v>17</v>
      </c>
      <c r="I84" s="484"/>
      <c r="J84" s="606">
        <v>18</v>
      </c>
      <c r="K84" s="780" t="str">
        <f>HYPERLINK("https://www.petanque.ee/index.php?id=103820&amp;cid=872","5. Klubide sari, 2. etapp")</f>
        <v>5. Klubide sari, 2. etapp</v>
      </c>
      <c r="L84" s="538">
        <v>19</v>
      </c>
      <c r="M84" s="415" t="str">
        <f>HYPERLINK("https://www.petanque.ee/index.php?id=103820&amp;cid=873","4. Eesti MV 55+")</f>
        <v>4. Eesti MV 55+</v>
      </c>
      <c r="N84" s="606">
        <v>20</v>
      </c>
      <c r="O84" s="417"/>
    </row>
    <row r="85" spans="1:15" x14ac:dyDescent="0.2">
      <c r="A85" s="484"/>
      <c r="B85" s="567"/>
      <c r="C85" s="484"/>
      <c r="D85" s="567"/>
      <c r="E85" s="484"/>
      <c r="F85" s="567"/>
      <c r="G85" s="484"/>
      <c r="H85" s="567"/>
      <c r="I85" s="484"/>
      <c r="J85" s="567"/>
      <c r="K85" s="608" t="s">
        <v>218</v>
      </c>
      <c r="L85" s="567"/>
      <c r="M85" s="550" t="s">
        <v>56</v>
      </c>
      <c r="N85" s="567"/>
      <c r="O85" s="417"/>
    </row>
    <row r="86" spans="1:15" x14ac:dyDescent="0.2">
      <c r="A86" s="484"/>
      <c r="B86" s="505"/>
      <c r="C86" s="484"/>
      <c r="D86" s="505"/>
      <c r="E86" s="484"/>
      <c r="F86" s="567"/>
      <c r="G86" s="484"/>
      <c r="H86" s="505"/>
      <c r="I86" s="484"/>
      <c r="J86" s="505"/>
      <c r="K86" s="645" t="str">
        <f>HYPERLINK("https://kaart.delfi.ee/?bookmark=73a75c2d8ed4a34c764e205c87288d20","Harku, Pikk 19")</f>
        <v>Harku, Pikk 19</v>
      </c>
      <c r="L86" s="505"/>
      <c r="M86" s="790" t="str">
        <f>HYPERLINK("https://kaart.delfi.ee/?bookmark=73a75c2d8ed4a34c764e205c87288d20","Harku, Pikk 19")</f>
        <v>Harku, Pikk 19</v>
      </c>
      <c r="N86" s="646"/>
      <c r="O86" s="417"/>
    </row>
    <row r="87" spans="1:15" x14ac:dyDescent="0.2">
      <c r="A87" s="484"/>
      <c r="B87" s="505"/>
      <c r="C87" s="428"/>
      <c r="D87" s="505"/>
      <c r="E87" s="484"/>
      <c r="F87" s="567"/>
      <c r="G87" s="484"/>
      <c r="H87" s="505"/>
      <c r="I87" s="428"/>
      <c r="J87" s="505"/>
      <c r="K87" s="645"/>
      <c r="L87" s="505"/>
      <c r="M87" s="352" t="str">
        <f>HYPERLINK("https://www.petanque.ee/index.php?id=103820&amp;cid=935","EM katsevõistlused")</f>
        <v>EM katsevõistlused</v>
      </c>
      <c r="N87" s="647"/>
      <c r="O87" s="417"/>
    </row>
    <row r="88" spans="1:15" x14ac:dyDescent="0.2">
      <c r="A88" s="484"/>
      <c r="B88" s="505"/>
      <c r="C88" s="428"/>
      <c r="D88" s="505"/>
      <c r="E88" s="484"/>
      <c r="F88" s="567"/>
      <c r="G88" s="484"/>
      <c r="H88" s="505"/>
      <c r="I88" s="428"/>
      <c r="J88" s="505"/>
      <c r="K88" s="645"/>
      <c r="L88" s="505"/>
      <c r="M88" s="405" t="s">
        <v>294</v>
      </c>
      <c r="N88" s="567"/>
      <c r="O88" s="417"/>
    </row>
    <row r="89" spans="1:15" ht="13.5" thickBot="1" x14ac:dyDescent="0.25">
      <c r="A89" s="484"/>
      <c r="B89" s="505"/>
      <c r="C89" s="428"/>
      <c r="D89" s="505"/>
      <c r="E89" s="484"/>
      <c r="F89" s="567"/>
      <c r="G89" s="484"/>
      <c r="H89" s="505"/>
      <c r="I89" s="428"/>
      <c r="J89" s="505"/>
      <c r="K89" s="645"/>
      <c r="L89" s="505"/>
      <c r="M89" s="648" t="str">
        <f>HYPERLINK("https://kaart.delfi.ee/?bookmark=73a75c2d8ed4a34c764e205c87288d20","Harku, Pikk 19")</f>
        <v>Harku, Pikk 19</v>
      </c>
      <c r="N89" s="567"/>
      <c r="O89" s="417"/>
    </row>
    <row r="90" spans="1:15" x14ac:dyDescent="0.2">
      <c r="A90" s="542"/>
      <c r="B90" s="541">
        <v>21</v>
      </c>
      <c r="C90" s="649"/>
      <c r="D90" s="541">
        <v>22</v>
      </c>
      <c r="E90" s="542"/>
      <c r="F90" s="541">
        <v>23</v>
      </c>
      <c r="G90" s="629"/>
      <c r="H90" s="541">
        <v>24</v>
      </c>
      <c r="I90" s="650"/>
      <c r="J90" s="541">
        <v>25</v>
      </c>
      <c r="K90" s="631"/>
      <c r="L90" s="620">
        <v>26</v>
      </c>
      <c r="M90" s="776" t="str">
        <f>HYPERLINK("#V7!$A$5","Voka IV sise-KV 7. etapp")</f>
        <v>Voka IV sise-KV 7. etapp</v>
      </c>
      <c r="N90" s="538">
        <v>27</v>
      </c>
      <c r="O90" s="417"/>
    </row>
    <row r="91" spans="1:15" x14ac:dyDescent="0.2">
      <c r="A91" s="548"/>
      <c r="B91" s="499"/>
      <c r="C91" s="229"/>
      <c r="D91" s="499"/>
      <c r="E91" s="548"/>
      <c r="F91" s="499"/>
      <c r="G91" s="607"/>
      <c r="H91" s="499"/>
      <c r="I91" s="550"/>
      <c r="J91" s="499"/>
      <c r="K91" s="740"/>
      <c r="L91" s="550"/>
      <c r="M91" s="774" t="s">
        <v>56</v>
      </c>
      <c r="N91" s="569"/>
      <c r="O91" s="417"/>
    </row>
    <row r="92" spans="1:15" x14ac:dyDescent="0.2">
      <c r="A92" s="548"/>
      <c r="B92" s="499"/>
      <c r="C92" s="229"/>
      <c r="D92" s="499"/>
      <c r="E92" s="548"/>
      <c r="F92" s="499"/>
      <c r="G92" s="607"/>
      <c r="H92" s="499"/>
      <c r="I92" s="550"/>
      <c r="J92" s="499"/>
      <c r="K92" s="741"/>
      <c r="L92" s="651"/>
      <c r="M92" s="775" t="str">
        <f>HYPERLINK("https://kaart.delfi.ee/?bookmark=236e0f8de3f3d8e7138807663f9b5d14","Voka petangihall")</f>
        <v>Voka petangihall</v>
      </c>
      <c r="N92" s="742"/>
      <c r="O92" s="417"/>
    </row>
    <row r="93" spans="1:15" x14ac:dyDescent="0.2">
      <c r="A93" s="548"/>
      <c r="B93" s="499"/>
      <c r="C93" s="229"/>
      <c r="D93" s="499"/>
      <c r="E93" s="548"/>
      <c r="F93" s="499"/>
      <c r="G93" s="607"/>
      <c r="H93" s="499"/>
      <c r="I93" s="550"/>
      <c r="J93" s="499"/>
      <c r="K93" s="740" t="str">
        <f>HYPERLINK("https://https://www.petanque.ee/index.php?id=103820&amp;cid=874","EM katsevõistlused")</f>
        <v>EM katsevõistlused</v>
      </c>
      <c r="L93" s="550"/>
      <c r="M93" s="740" t="str">
        <f>HYPERLINK("https://www.petanque.ee/index.php?id=103820&amp;cid=876","EM katsevõistlused")</f>
        <v>EM katsevõistlused</v>
      </c>
      <c r="N93" s="499"/>
      <c r="O93" s="417"/>
    </row>
    <row r="94" spans="1:15" x14ac:dyDescent="0.2">
      <c r="A94" s="548"/>
      <c r="B94" s="499"/>
      <c r="C94" s="229"/>
      <c r="D94" s="499"/>
      <c r="E94" s="548"/>
      <c r="F94" s="499"/>
      <c r="G94" s="607"/>
      <c r="H94" s="499"/>
      <c r="I94" s="550"/>
      <c r="J94" s="499"/>
      <c r="K94" s="406" t="s">
        <v>291</v>
      </c>
      <c r="L94" s="651"/>
      <c r="M94" s="406" t="s">
        <v>291</v>
      </c>
      <c r="N94" s="652"/>
      <c r="O94" s="417"/>
    </row>
    <row r="95" spans="1:15" x14ac:dyDescent="0.2">
      <c r="A95" s="548"/>
      <c r="B95" s="499"/>
      <c r="C95" s="229"/>
      <c r="D95" s="499"/>
      <c r="E95" s="548"/>
      <c r="F95" s="499"/>
      <c r="G95" s="607"/>
      <c r="H95" s="499"/>
      <c r="I95" s="550"/>
      <c r="J95" s="499"/>
      <c r="K95" s="357" t="str">
        <f>HYPERLINK("https://www.petanque.ee/index.php?id=103820&amp;cid=875","MM katsevõistlused")</f>
        <v>MM katsevõistlused</v>
      </c>
      <c r="L95" s="653"/>
      <c r="M95" s="357" t="str">
        <f>HYPERLINK("https://www.petanque.ee/index.php?id=103820&amp;cid=877","MM katsevõistlused")</f>
        <v>MM katsevõistlused</v>
      </c>
      <c r="N95" s="654"/>
      <c r="O95" s="417"/>
    </row>
    <row r="96" spans="1:15" x14ac:dyDescent="0.2">
      <c r="A96" s="548"/>
      <c r="B96" s="499"/>
      <c r="C96" s="229"/>
      <c r="D96" s="499"/>
      <c r="E96" s="548"/>
      <c r="F96" s="499"/>
      <c r="G96" s="607"/>
      <c r="H96" s="499"/>
      <c r="I96" s="550"/>
      <c r="J96" s="499"/>
      <c r="K96" s="402" t="s">
        <v>292</v>
      </c>
      <c r="L96" s="550"/>
      <c r="M96" s="407" t="s">
        <v>293</v>
      </c>
      <c r="N96" s="499"/>
      <c r="O96" s="417"/>
    </row>
    <row r="97" spans="1:18" ht="13.5" thickBot="1" x14ac:dyDescent="0.25">
      <c r="A97" s="548"/>
      <c r="B97" s="499"/>
      <c r="C97" s="229"/>
      <c r="D97" s="499"/>
      <c r="E97" s="548"/>
      <c r="F97" s="499"/>
      <c r="G97" s="607"/>
      <c r="H97" s="499"/>
      <c r="I97" s="550"/>
      <c r="J97" s="499"/>
      <c r="K97" s="618" t="str">
        <f>HYPERLINK("https://kaart.delfi.ee/?bookmark=73a75c2d8ed4a34c764e205c87288d20","Harku, Pikk 19")</f>
        <v>Harku, Pikk 19</v>
      </c>
      <c r="L97" s="550"/>
      <c r="M97" s="791" t="str">
        <f>HYPERLINK("https://kaart.delfi.ee/?bookmark=73a75c2d8ed4a34c764e205c87288d20","Harku, Pikk 19")</f>
        <v>Harku, Pikk 19</v>
      </c>
      <c r="N97" s="499"/>
    </row>
    <row r="98" spans="1:18" ht="13.5" thickBot="1" x14ac:dyDescent="0.25">
      <c r="A98" s="466" t="s">
        <v>301</v>
      </c>
      <c r="B98" s="467"/>
      <c r="C98" s="469"/>
      <c r="D98" s="655"/>
      <c r="E98" s="491"/>
      <c r="F98" s="656"/>
      <c r="G98" s="491"/>
      <c r="H98" s="656"/>
      <c r="I98" s="656"/>
      <c r="J98" s="656"/>
      <c r="K98" s="491"/>
      <c r="L98" s="656"/>
      <c r="M98" s="491"/>
      <c r="N98" s="656"/>
      <c r="R98" s="229"/>
    </row>
    <row r="99" spans="1:18" x14ac:dyDescent="0.2">
      <c r="A99" s="537"/>
      <c r="B99" s="538">
        <v>28</v>
      </c>
      <c r="C99" s="539"/>
      <c r="D99" s="540">
        <v>29</v>
      </c>
      <c r="E99" s="539"/>
      <c r="F99" s="538">
        <v>30</v>
      </c>
      <c r="G99" s="631"/>
      <c r="H99" s="540">
        <v>31</v>
      </c>
      <c r="I99" s="657"/>
      <c r="J99" s="620">
        <v>1</v>
      </c>
      <c r="K99" s="658"/>
      <c r="L99" s="538">
        <v>2</v>
      </c>
      <c r="M99" s="792" t="str">
        <f>HYPERLINK("#V8!$A$5","Voka IV sise-KV 8. etapp")</f>
        <v>Voka IV sise-KV 8. etapp</v>
      </c>
      <c r="N99" s="538">
        <v>3</v>
      </c>
      <c r="R99" s="417"/>
    </row>
    <row r="100" spans="1:18" x14ac:dyDescent="0.2">
      <c r="A100" s="548"/>
      <c r="B100" s="499"/>
      <c r="C100" s="229"/>
      <c r="D100" s="549"/>
      <c r="E100" s="229"/>
      <c r="F100" s="499"/>
      <c r="G100" s="548"/>
      <c r="H100" s="549"/>
      <c r="I100" s="550"/>
      <c r="J100" s="550"/>
      <c r="K100" s="659"/>
      <c r="L100" s="499"/>
      <c r="M100" s="780" t="str">
        <f>HYPERLINK("#'iv-t'!$A$5","Toila valla lahtised sise-MV")</f>
        <v>Toila valla lahtised sise-MV</v>
      </c>
      <c r="N100" s="499"/>
      <c r="O100" s="608"/>
      <c r="R100" s="417"/>
    </row>
    <row r="101" spans="1:18" x14ac:dyDescent="0.2">
      <c r="A101" s="548"/>
      <c r="B101" s="499"/>
      <c r="C101" s="229"/>
      <c r="D101" s="549"/>
      <c r="E101" s="229"/>
      <c r="F101" s="499"/>
      <c r="G101" s="548"/>
      <c r="H101" s="549"/>
      <c r="I101" s="550"/>
      <c r="J101" s="550"/>
      <c r="K101" s="659"/>
      <c r="L101" s="499"/>
      <c r="M101" s="548" t="s">
        <v>56</v>
      </c>
      <c r="N101" s="499"/>
      <c r="O101" s="608"/>
      <c r="R101" s="417"/>
    </row>
    <row r="102" spans="1:18" ht="13.5" thickBot="1" x14ac:dyDescent="0.25">
      <c r="A102" s="595"/>
      <c r="B102" s="743"/>
      <c r="C102" s="615"/>
      <c r="D102" s="744"/>
      <c r="E102" s="615"/>
      <c r="F102" s="587"/>
      <c r="G102" s="595"/>
      <c r="H102" s="744"/>
      <c r="I102" s="559"/>
      <c r="J102" s="559"/>
      <c r="K102" s="660"/>
      <c r="L102" s="587"/>
      <c r="M102" s="639" t="str">
        <f>HYPERLINK("https://kaart.delfi.ee/?bookmark=236e0f8de3f3d8e7138807663f9b5d14","Voka petangihall")</f>
        <v>Voka petangihall</v>
      </c>
      <c r="N102" s="587"/>
      <c r="R102" s="417"/>
    </row>
    <row r="103" spans="1:18" x14ac:dyDescent="0.2">
      <c r="A103" s="548"/>
      <c r="B103" s="606">
        <v>4</v>
      </c>
      <c r="C103" s="229"/>
      <c r="D103" s="606">
        <v>5</v>
      </c>
      <c r="E103" s="548"/>
      <c r="F103" s="606">
        <v>6</v>
      </c>
      <c r="G103" s="548"/>
      <c r="H103" s="626">
        <v>7</v>
      </c>
      <c r="I103" s="548"/>
      <c r="J103" s="626">
        <v>8</v>
      </c>
      <c r="K103" s="780" t="str">
        <f>HYPERLINK("https://www.petanque.ee/index.php?id=103820&amp;cid=878","5. Klubide sari, 3. etapp")</f>
        <v>5. Klubide sari, 3. etapp</v>
      </c>
      <c r="L103" s="606">
        <v>9</v>
      </c>
      <c r="M103" s="415" t="str">
        <f>HYPERLINK("https://www.petanque.ee/index.php?id=103820&amp;cid=879","22. Eesti MV")</f>
        <v>22. Eesti MV</v>
      </c>
      <c r="N103" s="606">
        <v>10</v>
      </c>
      <c r="R103" s="417"/>
    </row>
    <row r="104" spans="1:18" x14ac:dyDescent="0.2">
      <c r="A104" s="548"/>
      <c r="B104" s="499"/>
      <c r="C104" s="229"/>
      <c r="D104" s="499"/>
      <c r="E104" s="548"/>
      <c r="F104" s="499"/>
      <c r="G104" s="548"/>
      <c r="H104" s="661"/>
      <c r="I104" s="548"/>
      <c r="J104" s="661"/>
      <c r="K104" s="662" t="s">
        <v>218</v>
      </c>
      <c r="L104" s="661"/>
      <c r="M104" s="550" t="s">
        <v>217</v>
      </c>
      <c r="N104" s="567"/>
      <c r="R104" s="472"/>
    </row>
    <row r="105" spans="1:18" ht="13.5" thickBot="1" x14ac:dyDescent="0.25">
      <c r="A105" s="595"/>
      <c r="B105" s="587"/>
      <c r="C105" s="615"/>
      <c r="D105" s="587"/>
      <c r="E105" s="595"/>
      <c r="F105" s="587"/>
      <c r="G105" s="595"/>
      <c r="H105" s="663"/>
      <c r="I105" s="595"/>
      <c r="J105" s="663"/>
      <c r="K105" s="782" t="str">
        <f>HYPERLINK("https://kaart.delfi.ee/?bookmark=73a75c2d8ed4a34c764e205c87288d20","Harku, Pikk 19")</f>
        <v>Harku, Pikk 19</v>
      </c>
      <c r="L105" s="663"/>
      <c r="M105" s="766" t="str">
        <f>HYPERLINK("https://kaart.delfi.ee/?bookmark=73a75c2d8ed4a34c764e205c87288d20","Harku, Pikk 19")</f>
        <v>Harku, Pikk 19</v>
      </c>
      <c r="N105" s="644"/>
      <c r="O105" s="417"/>
      <c r="P105" s="417"/>
      <c r="Q105" s="472"/>
      <c r="R105" s="472"/>
    </row>
    <row r="106" spans="1:18" x14ac:dyDescent="0.2">
      <c r="A106" s="548"/>
      <c r="B106" s="606">
        <v>11</v>
      </c>
      <c r="C106" s="548"/>
      <c r="D106" s="606">
        <v>12</v>
      </c>
      <c r="E106" s="229"/>
      <c r="F106" s="606">
        <v>13</v>
      </c>
      <c r="G106" s="548"/>
      <c r="H106" s="606">
        <v>14</v>
      </c>
      <c r="I106" s="764" t="str">
        <f>HYPERLINK("https://www.petanque.ee/index.php?id=103589&amp;cid=939","Easter 2022")</f>
        <v>Easter 2022</v>
      </c>
      <c r="J106" s="706">
        <v>15</v>
      </c>
      <c r="K106" s="764" t="str">
        <f>HYPERLINK("https://www.petanque.ee/index.php?id=103589&amp;cid=940","Easter 2022")</f>
        <v>Easter 2022</v>
      </c>
      <c r="L106" s="538">
        <v>16</v>
      </c>
      <c r="M106" s="792" t="str">
        <f>HYPERLINK("#V9!$A$5","Voka IV sise-KV 9. etapp")</f>
        <v>Voka IV sise-KV 9. etapp</v>
      </c>
      <c r="N106" s="707">
        <v>17</v>
      </c>
      <c r="O106" s="417"/>
      <c r="P106" s="417"/>
      <c r="R106" s="417"/>
    </row>
    <row r="107" spans="1:18" x14ac:dyDescent="0.2">
      <c r="A107" s="548"/>
      <c r="B107" s="550"/>
      <c r="C107" s="548"/>
      <c r="D107" s="499"/>
      <c r="E107" s="229"/>
      <c r="F107" s="550"/>
      <c r="G107" s="548"/>
      <c r="H107" s="499"/>
      <c r="I107" s="765" t="s">
        <v>55</v>
      </c>
      <c r="J107" s="720" t="str">
        <f>HYPERLINK("https://www.facebook.com/events/457300526101675/","fb")</f>
        <v>fb</v>
      </c>
      <c r="K107" s="765" t="s">
        <v>56</v>
      </c>
      <c r="L107" s="738" t="str">
        <f>HYPERLINK("https://www.facebook.com/events/457300526101675/","fb")</f>
        <v>fb</v>
      </c>
      <c r="M107" s="780" t="str">
        <f>HYPERLINK("#'iv-t'!$A$5","Toila valla lahtised sise-MV")</f>
        <v>Toila valla lahtised sise-MV</v>
      </c>
      <c r="N107" s="499"/>
      <c r="O107" s="417"/>
      <c r="P107" s="417"/>
      <c r="Q107" s="417"/>
      <c r="R107" s="417"/>
    </row>
    <row r="108" spans="1:18" x14ac:dyDescent="0.2">
      <c r="A108" s="548"/>
      <c r="B108" s="550"/>
      <c r="C108" s="548"/>
      <c r="D108" s="499"/>
      <c r="E108" s="229"/>
      <c r="F108" s="550"/>
      <c r="G108" s="548"/>
      <c r="H108" s="499"/>
      <c r="I108" s="618" t="str">
        <f>HYPERLINK("https://kaart.delfi.ee/?bookmark=73a75c2d8ed4a34c764e205c87288d20","Harku, Pikk 19")</f>
        <v>Harku, Pikk 19</v>
      </c>
      <c r="J108" s="550"/>
      <c r="K108" s="645" t="str">
        <f>HYPERLINK("https://kaart.delfi.ee/?bookmark=73a75c2d8ed4a34c764e205c87288d20","Harku, Pikk 19")</f>
        <v>Harku, Pikk 19</v>
      </c>
      <c r="L108" s="738"/>
      <c r="M108" s="548" t="s">
        <v>55</v>
      </c>
      <c r="N108" s="499"/>
      <c r="O108" s="417"/>
      <c r="P108" s="417"/>
      <c r="Q108" s="417"/>
      <c r="R108" s="417"/>
    </row>
    <row r="109" spans="1:18" ht="13.5" thickBot="1" x14ac:dyDescent="0.25">
      <c r="A109" s="664"/>
      <c r="B109" s="665"/>
      <c r="C109" s="664"/>
      <c r="D109" s="666"/>
      <c r="E109" s="667"/>
      <c r="F109" s="665"/>
      <c r="G109" s="664"/>
      <c r="H109" s="666"/>
      <c r="I109" s="761"/>
      <c r="J109" s="762"/>
      <c r="K109" s="761"/>
      <c r="L109" s="743"/>
      <c r="M109" s="639" t="str">
        <f>HYPERLINK("https://kaart.delfi.ee/?bookmark=236e0f8de3f3d8e7138807663f9b5d14","Voka petangihall")</f>
        <v>Voka petangihall</v>
      </c>
      <c r="N109" s="587"/>
      <c r="R109" s="417"/>
    </row>
    <row r="110" spans="1:18" x14ac:dyDescent="0.2">
      <c r="A110" s="542"/>
      <c r="B110" s="543">
        <v>18</v>
      </c>
      <c r="C110" s="542"/>
      <c r="D110" s="541">
        <v>19</v>
      </c>
      <c r="E110" s="649"/>
      <c r="F110" s="541">
        <v>20</v>
      </c>
      <c r="G110" s="629"/>
      <c r="H110" s="541">
        <v>21</v>
      </c>
      <c r="I110" s="650"/>
      <c r="J110" s="541">
        <v>22</v>
      </c>
      <c r="K110" s="542"/>
      <c r="L110" s="541">
        <v>23</v>
      </c>
      <c r="M110" s="785" t="str">
        <f>HYPERLINK("#V10!$A$5","Voka IV sise-KV 10. etapp")</f>
        <v>Voka IV sise-KV 10. etapp</v>
      </c>
      <c r="N110" s="541">
        <v>24</v>
      </c>
      <c r="R110" s="417"/>
    </row>
    <row r="111" spans="1:18" x14ac:dyDescent="0.2">
      <c r="A111" s="548"/>
      <c r="B111" s="550"/>
      <c r="C111" s="548"/>
      <c r="D111" s="668"/>
      <c r="E111" s="548"/>
      <c r="F111" s="499"/>
      <c r="G111" s="607"/>
      <c r="H111" s="550"/>
      <c r="I111" s="607"/>
      <c r="J111" s="499"/>
      <c r="K111" s="548"/>
      <c r="L111" s="499"/>
      <c r="M111" s="774" t="s">
        <v>56</v>
      </c>
      <c r="N111" s="569"/>
      <c r="R111" s="417"/>
    </row>
    <row r="112" spans="1:18" ht="13.5" thickBot="1" x14ac:dyDescent="0.25">
      <c r="A112" s="595"/>
      <c r="B112" s="559"/>
      <c r="C112" s="595"/>
      <c r="D112" s="669"/>
      <c r="E112" s="615"/>
      <c r="F112" s="559"/>
      <c r="G112" s="616"/>
      <c r="H112" s="559"/>
      <c r="I112" s="616"/>
      <c r="J112" s="587"/>
      <c r="K112" s="595"/>
      <c r="L112" s="587"/>
      <c r="M112" s="783" t="str">
        <f>HYPERLINK("https://kaart.delfi.ee/?bookmark=236e0f8de3f3d8e7138807663f9b5d14","Voka petangihall")</f>
        <v>Voka petangihall</v>
      </c>
      <c r="N112" s="627"/>
      <c r="R112" s="417"/>
    </row>
    <row r="113" spans="1:18" x14ac:dyDescent="0.2">
      <c r="A113" s="670"/>
      <c r="B113" s="545">
        <v>25</v>
      </c>
      <c r="C113" s="671"/>
      <c r="D113" s="672">
        <v>26</v>
      </c>
      <c r="E113" s="673"/>
      <c r="F113" s="672">
        <v>27</v>
      </c>
      <c r="G113" s="674"/>
      <c r="H113" s="672">
        <v>28</v>
      </c>
      <c r="I113" s="673"/>
      <c r="J113" s="545">
        <v>29</v>
      </c>
      <c r="K113" s="675"/>
      <c r="L113" s="702">
        <v>30</v>
      </c>
      <c r="M113" s="930" t="s">
        <v>364</v>
      </c>
      <c r="N113" s="927">
        <v>1</v>
      </c>
      <c r="R113" s="417"/>
    </row>
    <row r="114" spans="1:18" x14ac:dyDescent="0.2">
      <c r="A114" s="676"/>
      <c r="B114" s="531"/>
      <c r="C114" s="677"/>
      <c r="D114" s="678"/>
      <c r="E114" s="679"/>
      <c r="F114" s="680"/>
      <c r="G114" s="681"/>
      <c r="H114" s="682"/>
      <c r="I114" s="683"/>
      <c r="J114" s="679"/>
      <c r="K114" s="684"/>
      <c r="L114" s="703"/>
      <c r="M114" s="928" t="s">
        <v>365</v>
      </c>
      <c r="N114" s="965"/>
      <c r="R114" s="417"/>
    </row>
    <row r="115" spans="1:18" ht="13.5" thickBot="1" x14ac:dyDescent="0.25">
      <c r="A115" s="685"/>
      <c r="B115" s="686"/>
      <c r="C115" s="687"/>
      <c r="D115" s="688"/>
      <c r="E115" s="689"/>
      <c r="F115" s="689"/>
      <c r="G115" s="690"/>
      <c r="H115" s="691"/>
      <c r="I115" s="692"/>
      <c r="J115" s="689"/>
      <c r="K115" s="693"/>
      <c r="L115" s="929"/>
      <c r="M115" s="783" t="str">
        <f>HYPERLINK("https://kaart.delfi.ee/?bookmark=236e0f8de3f3d8e7138807663f9b5d14","Voka petangihall")</f>
        <v>Voka petangihall</v>
      </c>
      <c r="N115" s="966"/>
      <c r="R115" s="417"/>
    </row>
    <row r="116" spans="1:18" x14ac:dyDescent="0.2">
      <c r="A116" s="694"/>
      <c r="B116" s="694"/>
      <c r="C116" s="694"/>
      <c r="D116" s="694"/>
      <c r="E116" s="695"/>
      <c r="F116" s="695"/>
      <c r="G116" s="694"/>
      <c r="H116" s="694"/>
      <c r="I116" s="694"/>
      <c r="J116" s="694"/>
      <c r="K116" s="601"/>
      <c r="L116" s="601"/>
      <c r="R116" s="417"/>
    </row>
    <row r="117" spans="1:18" s="1" customFormat="1" x14ac:dyDescent="0.2">
      <c r="A117" s="27" t="s">
        <v>307</v>
      </c>
      <c r="B117" s="31"/>
      <c r="C117" s="31"/>
      <c r="D117" s="28"/>
      <c r="E117" s="31"/>
      <c r="F117" s="29"/>
      <c r="G117" s="28"/>
      <c r="H117" s="28"/>
      <c r="I117" s="28"/>
      <c r="J117" s="28"/>
      <c r="K117" s="28"/>
      <c r="L117" s="28"/>
      <c r="M117" s="28"/>
    </row>
    <row r="118" spans="1:18" x14ac:dyDescent="0.2">
      <c r="A118" s="550" t="s">
        <v>306</v>
      </c>
      <c r="B118" s="662"/>
      <c r="C118" s="662"/>
      <c r="D118" s="662"/>
      <c r="E118" s="662"/>
      <c r="F118" s="662"/>
      <c r="G118" s="662"/>
      <c r="H118" s="662"/>
      <c r="I118" s="662"/>
      <c r="J118" s="662"/>
      <c r="K118" s="662"/>
      <c r="L118" s="662"/>
      <c r="M118" s="662"/>
      <c r="P118" s="608"/>
      <c r="Q118" s="608"/>
      <c r="R118" s="608"/>
    </row>
    <row r="119" spans="1:18" x14ac:dyDescent="0.2">
      <c r="A119" s="714" t="s">
        <v>46</v>
      </c>
      <c r="B119" s="714"/>
      <c r="C119" s="714"/>
      <c r="D119" s="714"/>
      <c r="E119" s="714"/>
      <c r="F119" s="714"/>
      <c r="G119" s="714"/>
      <c r="H119" s="714"/>
      <c r="I119" s="714"/>
      <c r="J119" s="662"/>
      <c r="K119" s="662"/>
      <c r="L119" s="662"/>
      <c r="P119" s="608"/>
      <c r="Q119" s="608"/>
      <c r="R119" s="608"/>
    </row>
    <row r="120" spans="1:18" x14ac:dyDescent="0.2">
      <c r="A120" s="696" t="s">
        <v>303</v>
      </c>
      <c r="B120" s="696"/>
      <c r="C120" s="696"/>
      <c r="D120" s="696"/>
      <c r="E120" s="696"/>
      <c r="F120" s="696"/>
      <c r="G120" s="696"/>
      <c r="H120" s="696"/>
      <c r="I120" s="696"/>
      <c r="J120" s="608"/>
      <c r="K120" s="608"/>
      <c r="L120" s="608"/>
      <c r="M120" s="608"/>
      <c r="N120" s="608"/>
      <c r="O120" s="608"/>
    </row>
    <row r="121" spans="1:18" x14ac:dyDescent="0.2">
      <c r="A121" s="713" t="s">
        <v>47</v>
      </c>
      <c r="N121" s="715" t="s">
        <v>219</v>
      </c>
    </row>
    <row r="122" spans="1:18" x14ac:dyDescent="0.2">
      <c r="A122" s="697"/>
      <c r="B122" s="698"/>
      <c r="C122" s="699"/>
      <c r="D122" s="699"/>
      <c r="E122" s="700"/>
      <c r="F122" s="700"/>
      <c r="G122" s="699"/>
      <c r="H122" s="701"/>
      <c r="I122" s="699"/>
      <c r="J122" s="699"/>
      <c r="K122" s="699"/>
      <c r="L122" s="699"/>
      <c r="M122" s="699"/>
      <c r="N122" s="699"/>
      <c r="O122" s="699"/>
      <c r="P122" s="699"/>
      <c r="Q122" s="699"/>
      <c r="R122" s="699"/>
    </row>
    <row r="123" spans="1:18" x14ac:dyDescent="0.2">
      <c r="B123" s="417"/>
      <c r="C123" s="417"/>
      <c r="D123" s="417"/>
      <c r="E123" s="416"/>
      <c r="F123" s="416"/>
      <c r="G123" s="417"/>
      <c r="H123" s="417"/>
      <c r="I123" s="417"/>
      <c r="J123" s="417"/>
      <c r="K123" s="417"/>
      <c r="L123" s="417"/>
      <c r="M123" s="417"/>
      <c r="N123" s="416"/>
      <c r="O123" s="417"/>
      <c r="P123" s="417"/>
      <c r="Q123" s="417"/>
      <c r="R123" s="417"/>
    </row>
    <row r="124" spans="1:18" x14ac:dyDescent="0.2">
      <c r="A124" s="417"/>
      <c r="B124" s="417"/>
      <c r="C124" s="417"/>
      <c r="D124" s="417"/>
      <c r="E124" s="416"/>
      <c r="F124" s="416"/>
      <c r="G124" s="417"/>
      <c r="H124" s="417"/>
      <c r="I124" s="417"/>
      <c r="J124" s="417"/>
      <c r="K124" s="417"/>
      <c r="L124" s="417"/>
      <c r="M124" s="417"/>
      <c r="N124" s="416"/>
      <c r="O124" s="417"/>
      <c r="P124" s="417"/>
      <c r="Q124" s="417"/>
      <c r="R124" s="417"/>
    </row>
    <row r="125" spans="1:18" x14ac:dyDescent="0.2">
      <c r="A125" s="417"/>
      <c r="B125" s="417"/>
      <c r="C125" s="417"/>
      <c r="D125" s="417"/>
      <c r="E125" s="416"/>
      <c r="F125" s="416"/>
      <c r="G125" s="417"/>
      <c r="H125" s="417"/>
      <c r="I125" s="417"/>
      <c r="J125" s="417"/>
      <c r="K125" s="417"/>
      <c r="L125" s="417"/>
      <c r="M125" s="417"/>
      <c r="N125" s="416"/>
      <c r="O125" s="417"/>
      <c r="P125" s="417"/>
      <c r="Q125" s="417"/>
      <c r="R125" s="417"/>
    </row>
  </sheetData>
  <mergeCells count="1">
    <mergeCell ref="I3:J3"/>
  </mergeCells>
  <pageMargins left="0.31496062992125984" right="0.27559055118110237" top="0.27559055118110237" bottom="0.27559055118110237" header="0.27559055118110237" footer="0"/>
  <pageSetup paperSize="9" fitToHeight="0" orientation="portrait" verticalDpi="1200" r:id="rId1"/>
  <headerFooter>
    <oddHeader>&amp;R&amp;9&amp;P. leht &amp;N&amp; -st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00"/>
    <pageSetUpPr fitToPage="1"/>
  </sheetPr>
  <dimension ref="A1:BR119"/>
  <sheetViews>
    <sheetView showGridLines="0" showRowColHeaders="0" zoomScaleNormal="100" workbookViewId="0">
      <pane ySplit="6" topLeftCell="A7" activePane="bottomLeft" state="frozen"/>
      <selection pane="bottomLeft" activeCell="AA1" sqref="AA1"/>
    </sheetView>
  </sheetViews>
  <sheetFormatPr defaultRowHeight="12.75" x14ac:dyDescent="0.2"/>
  <cols>
    <col min="1" max="1" width="6.140625" style="1" customWidth="1"/>
    <col min="2" max="2" width="7.42578125" style="1" hidden="1" customWidth="1"/>
    <col min="3" max="3" width="7.5703125" style="1" customWidth="1"/>
    <col min="4" max="4" width="9.140625" style="1" hidden="1" customWidth="1"/>
    <col min="5" max="5" width="3.140625" style="1" hidden="1" customWidth="1"/>
    <col min="6" max="6" width="0.85546875" style="1" hidden="1" customWidth="1"/>
    <col min="7" max="7" width="3" style="1" customWidth="1"/>
    <col min="8" max="8" width="6.7109375" style="1" hidden="1" customWidth="1"/>
    <col min="9" max="9" width="2.7109375" style="1" customWidth="1"/>
    <col min="10" max="10" width="8.28515625" style="1" hidden="1" customWidth="1"/>
    <col min="11" max="11" width="6" style="1" customWidth="1"/>
    <col min="12" max="12" width="21.85546875" style="1" bestFit="1" customWidth="1"/>
    <col min="13" max="16" width="3" style="1" hidden="1" customWidth="1"/>
    <col min="17" max="17" width="7.85546875" style="1" hidden="1" customWidth="1"/>
    <col min="18" max="18" width="7.5703125" style="1" customWidth="1"/>
    <col min="19" max="19" width="23" style="1" hidden="1" customWidth="1"/>
    <col min="20" max="20" width="28.28515625" style="1" hidden="1" customWidth="1"/>
    <col min="21" max="21" width="9" style="1" hidden="1" customWidth="1"/>
    <col min="22" max="22" width="7.5703125" style="1" hidden="1" customWidth="1"/>
    <col min="23" max="23" width="32" style="1" hidden="1" customWidth="1"/>
    <col min="24" max="24" width="11.28515625" style="1" hidden="1" customWidth="1"/>
    <col min="25" max="25" width="5" style="1" hidden="1" customWidth="1"/>
    <col min="26" max="31" width="3.28515625" style="1" customWidth="1"/>
    <col min="32" max="32" width="3.28515625" style="1" bestFit="1" customWidth="1"/>
    <col min="33" max="34" width="3.28515625" style="1" customWidth="1"/>
    <col min="35" max="35" width="4.140625" style="1" customWidth="1"/>
    <col min="36" max="36" width="3" style="1" hidden="1" customWidth="1"/>
    <col min="37" max="37" width="6.28515625" style="1" hidden="1" customWidth="1"/>
    <col min="38" max="38" width="8" style="1" hidden="1" customWidth="1"/>
    <col min="39" max="39" width="5.42578125" style="1" hidden="1" customWidth="1"/>
    <col min="40" max="42" width="3.28515625" style="1" customWidth="1"/>
    <col min="43" max="43" width="0.140625" style="1" customWidth="1"/>
    <col min="46" max="55" width="8" style="1" hidden="1" customWidth="1"/>
    <col min="56" max="56" width="7" style="1" hidden="1" customWidth="1"/>
    <col min="57" max="60" width="9.140625" style="1"/>
    <col min="61" max="70" width="9.140625" style="1" hidden="1" customWidth="1"/>
    <col min="71" max="16384" width="9.140625" style="1"/>
  </cols>
  <sheetData>
    <row r="1" spans="1:70" x14ac:dyDescent="0.2">
      <c r="A1" s="48"/>
      <c r="B1" s="46"/>
      <c r="C1" s="51" t="s">
        <v>310</v>
      </c>
      <c r="D1" s="49"/>
      <c r="E1" s="49"/>
      <c r="F1" s="49"/>
      <c r="H1" s="49"/>
      <c r="J1" s="49"/>
      <c r="K1" s="50"/>
      <c r="L1" s="48"/>
      <c r="M1" s="52"/>
      <c r="N1" s="52"/>
      <c r="O1" s="52"/>
      <c r="P1" s="53"/>
      <c r="Q1" s="53"/>
      <c r="R1" s="54"/>
      <c r="S1" s="52"/>
      <c r="T1" s="52"/>
      <c r="U1" s="52"/>
      <c r="V1" s="52"/>
      <c r="W1" s="52"/>
      <c r="X1" s="52"/>
      <c r="Y1" s="399"/>
      <c r="Z1" s="396"/>
      <c r="AA1" s="54"/>
      <c r="AB1" s="54"/>
      <c r="AC1" s="54"/>
      <c r="AD1" s="54"/>
      <c r="AE1" s="54"/>
      <c r="AF1" s="54" t="s">
        <v>29</v>
      </c>
      <c r="AG1" s="54"/>
      <c r="AI1" s="302" t="s">
        <v>70</v>
      </c>
      <c r="AJ1" s="55"/>
      <c r="AK1" s="55"/>
      <c r="AL1" s="303"/>
      <c r="AM1" s="303"/>
      <c r="AN1" s="45" t="s">
        <v>67</v>
      </c>
      <c r="AO1" s="45"/>
      <c r="AP1" s="56"/>
      <c r="AQ1" s="48"/>
      <c r="AT1" s="44" t="s">
        <v>71</v>
      </c>
      <c r="AU1" s="46"/>
      <c r="AV1" s="46"/>
      <c r="AW1" s="46"/>
      <c r="AX1" s="46"/>
      <c r="AY1" s="46"/>
      <c r="AZ1" s="46"/>
      <c r="BA1" s="46"/>
      <c r="BB1" s="46"/>
      <c r="BC1" s="46"/>
      <c r="BD1" s="46"/>
      <c r="BI1" s="44" t="s">
        <v>71</v>
      </c>
      <c r="BJ1" s="46"/>
      <c r="BK1" s="46"/>
      <c r="BL1" s="46"/>
      <c r="BM1" s="46"/>
      <c r="BN1" s="46"/>
      <c r="BO1" s="46"/>
      <c r="BP1" s="46"/>
      <c r="BQ1" s="46"/>
      <c r="BR1" s="46"/>
    </row>
    <row r="2" spans="1:70" x14ac:dyDescent="0.2">
      <c r="A2" s="48"/>
      <c r="B2" s="48"/>
      <c r="C2" s="57" t="s">
        <v>296</v>
      </c>
      <c r="D2" s="50"/>
      <c r="E2" s="50"/>
      <c r="F2" s="50"/>
      <c r="H2" s="50"/>
      <c r="J2" s="50"/>
      <c r="K2" s="50"/>
      <c r="L2" s="48"/>
      <c r="M2" s="54"/>
      <c r="N2" s="54"/>
      <c r="O2" s="54"/>
      <c r="P2" s="58"/>
      <c r="Q2" s="58"/>
      <c r="R2" s="54"/>
      <c r="S2" s="54"/>
      <c r="T2" s="54"/>
      <c r="U2" s="54"/>
      <c r="V2" s="54"/>
      <c r="W2" s="54"/>
      <c r="X2" s="54"/>
      <c r="Y2" s="396"/>
      <c r="Z2" s="54"/>
      <c r="AA2" s="54"/>
      <c r="AB2" s="54"/>
      <c r="AC2" s="54"/>
      <c r="AD2" s="54"/>
      <c r="AE2" s="54"/>
      <c r="AF2" s="54"/>
      <c r="AG2" s="59"/>
      <c r="AH2" s="59"/>
      <c r="AI2" s="59"/>
      <c r="AJ2" s="54"/>
      <c r="AK2" s="54"/>
      <c r="AL2" s="54"/>
      <c r="AN2" s="46" t="s">
        <v>68</v>
      </c>
      <c r="AO2" s="46"/>
      <c r="AP2" s="48"/>
      <c r="AQ2" s="48"/>
      <c r="AT2" s="60">
        <v>3</v>
      </c>
      <c r="AU2" s="61" t="s">
        <v>212</v>
      </c>
      <c r="AV2" s="62"/>
      <c r="AW2" s="62"/>
      <c r="AX2" s="62"/>
      <c r="AY2" s="62"/>
      <c r="AZ2" s="62"/>
      <c r="BA2" s="48"/>
      <c r="BB2" s="48"/>
      <c r="BC2" s="48"/>
      <c r="BD2" s="48"/>
    </row>
    <row r="3" spans="1:70" x14ac:dyDescent="0.2">
      <c r="A3" s="48"/>
      <c r="B3" s="48"/>
      <c r="C3" s="57"/>
      <c r="D3" s="50"/>
      <c r="E3" s="50"/>
      <c r="F3" s="50"/>
      <c r="H3" s="50"/>
      <c r="J3" s="50"/>
      <c r="K3" s="50"/>
      <c r="L3" s="48"/>
      <c r="M3" s="54"/>
      <c r="N3" s="54"/>
      <c r="O3" s="54"/>
      <c r="P3" s="58"/>
      <c r="Q3" s="58"/>
      <c r="R3" s="58"/>
      <c r="S3" s="54">
        <f>COUNTIF((Q$7:Q$51),"&lt;&gt;Viru SK")</f>
        <v>10</v>
      </c>
      <c r="T3" s="54"/>
      <c r="U3" s="54"/>
      <c r="V3" s="54"/>
      <c r="W3" s="54"/>
      <c r="X3" s="54"/>
      <c r="Y3" s="396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N3" s="47" t="s">
        <v>69</v>
      </c>
      <c r="AO3" s="47"/>
      <c r="AP3" s="48"/>
      <c r="AQ3" s="48"/>
      <c r="AT3" s="60">
        <v>1</v>
      </c>
      <c r="AU3" s="61" t="s">
        <v>211</v>
      </c>
      <c r="AV3" s="62"/>
      <c r="AW3" s="62"/>
      <c r="AX3" s="62"/>
      <c r="AY3" s="62"/>
      <c r="AZ3" s="62"/>
      <c r="BA3" s="62"/>
      <c r="BB3" s="62"/>
      <c r="BC3" s="48"/>
      <c r="BD3" s="48"/>
    </row>
    <row r="4" spans="1:70" ht="29.25" customHeight="1" x14ac:dyDescent="0.2">
      <c r="A4" s="716"/>
      <c r="B4" s="310"/>
      <c r="C4" s="313"/>
      <c r="D4" s="314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317"/>
      <c r="S4" s="64" t="s">
        <v>72</v>
      </c>
      <c r="T4" s="64"/>
      <c r="U4" s="65" t="s">
        <v>73</v>
      </c>
      <c r="V4" s="64" t="s">
        <v>74</v>
      </c>
      <c r="W4" s="64" t="s">
        <v>75</v>
      </c>
      <c r="X4" s="64"/>
      <c r="Y4" s="66" t="s">
        <v>76</v>
      </c>
      <c r="Z4" s="67" t="str">
        <f>MID(Kalend!A10,4,5)</f>
        <v>12.12</v>
      </c>
      <c r="AA4" s="67" t="str">
        <f>MID(Kalend!A11,4,5)</f>
        <v>19.12</v>
      </c>
      <c r="AB4" s="67" t="str">
        <f>MID(Kalend!$A14,4,5)</f>
        <v>09.01</v>
      </c>
      <c r="AC4" s="67" t="str">
        <f>MID(Kalend!$A16,4,5)</f>
        <v>30.01</v>
      </c>
      <c r="AD4" s="67" t="str">
        <f>MID(Kalend!$A18,4,5)</f>
        <v>06.02</v>
      </c>
      <c r="AE4" s="67" t="str">
        <f>MID(Kalend!$A24,4,5)</f>
        <v>13.03</v>
      </c>
      <c r="AF4" s="67" t="str">
        <f>MID(Kalend!$A25,4,5)</f>
        <v>27.03</v>
      </c>
      <c r="AG4" s="67" t="str">
        <f>MID(Kalend!$A27,4,5)</f>
        <v>03.04</v>
      </c>
      <c r="AH4" s="67" t="str">
        <f>MID(Kalend!$A28,4,5)</f>
        <v>17.04</v>
      </c>
      <c r="AI4" s="67" t="str">
        <f>MID(Kalend!$A29,4,5)</f>
        <v>24.04</v>
      </c>
      <c r="AJ4" s="68"/>
      <c r="AK4" s="345"/>
      <c r="AL4" s="69"/>
      <c r="AM4" s="362"/>
      <c r="AN4" s="972" t="s">
        <v>78</v>
      </c>
      <c r="AO4" s="973" t="s">
        <v>182</v>
      </c>
      <c r="AP4" s="975" t="s">
        <v>79</v>
      </c>
      <c r="AQ4" s="48"/>
      <c r="AT4" s="48"/>
      <c r="AW4" s="48"/>
      <c r="AX4" s="48"/>
      <c r="AY4" s="48"/>
      <c r="AZ4" s="48"/>
      <c r="BA4" s="48"/>
      <c r="BB4" s="48"/>
      <c r="BC4" s="48"/>
      <c r="BD4" s="48"/>
    </row>
    <row r="5" spans="1:70" x14ac:dyDescent="0.2">
      <c r="A5" s="717" t="s">
        <v>77</v>
      </c>
      <c r="B5" s="153"/>
      <c r="C5" s="153"/>
      <c r="D5" s="153"/>
      <c r="E5" s="154" t="s">
        <v>77</v>
      </c>
      <c r="F5" s="153"/>
      <c r="G5" s="154" t="s">
        <v>77</v>
      </c>
      <c r="H5" s="153"/>
      <c r="I5" s="154"/>
      <c r="J5" s="153"/>
      <c r="K5" s="361" t="s">
        <v>57</v>
      </c>
      <c r="L5" s="71"/>
      <c r="M5" s="72" t="s">
        <v>77</v>
      </c>
      <c r="N5" s="72" t="s">
        <v>77</v>
      </c>
      <c r="O5" s="72" t="s">
        <v>77</v>
      </c>
      <c r="P5" s="72" t="s">
        <v>77</v>
      </c>
      <c r="Q5" s="72" t="s">
        <v>77</v>
      </c>
      <c r="R5" s="70" t="s">
        <v>59</v>
      </c>
      <c r="S5" s="73" t="s">
        <v>80</v>
      </c>
      <c r="T5" s="74"/>
      <c r="U5" s="75" t="s">
        <v>81</v>
      </c>
      <c r="V5" s="76"/>
      <c r="W5" s="76"/>
      <c r="X5" s="76"/>
      <c r="Y5" s="77" t="s">
        <v>82</v>
      </c>
      <c r="Z5" s="78" t="s">
        <v>83</v>
      </c>
      <c r="AA5" s="78" t="s">
        <v>295</v>
      </c>
      <c r="AB5" s="78" t="s">
        <v>83</v>
      </c>
      <c r="AC5" s="78" t="s">
        <v>295</v>
      </c>
      <c r="AD5" s="78" t="s">
        <v>83</v>
      </c>
      <c r="AE5" s="78" t="s">
        <v>83</v>
      </c>
      <c r="AF5" s="78" t="s">
        <v>295</v>
      </c>
      <c r="AG5" s="78" t="s">
        <v>295</v>
      </c>
      <c r="AH5" s="78" t="s">
        <v>83</v>
      </c>
      <c r="AI5" s="78" t="s">
        <v>295</v>
      </c>
      <c r="AJ5" s="79"/>
      <c r="AK5" s="347" t="s">
        <v>224</v>
      </c>
      <c r="AL5" s="80" t="s">
        <v>84</v>
      </c>
      <c r="AM5" s="309" t="s">
        <v>85</v>
      </c>
      <c r="AN5" s="972"/>
      <c r="AO5" s="974"/>
      <c r="AP5" s="975"/>
      <c r="AQ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</row>
    <row r="6" spans="1:70" x14ac:dyDescent="0.2">
      <c r="A6" s="718" t="s">
        <v>86</v>
      </c>
      <c r="B6" s="311" t="s">
        <v>86</v>
      </c>
      <c r="C6" s="353" t="s">
        <v>213</v>
      </c>
      <c r="D6" s="315" t="s">
        <v>213</v>
      </c>
      <c r="E6" s="82" t="s">
        <v>12</v>
      </c>
      <c r="F6" s="81" t="s">
        <v>87</v>
      </c>
      <c r="G6" s="83" t="s">
        <v>13</v>
      </c>
      <c r="H6" s="81" t="s">
        <v>88</v>
      </c>
      <c r="I6" s="84" t="s">
        <v>9</v>
      </c>
      <c r="J6" s="81" t="s">
        <v>89</v>
      </c>
      <c r="K6" s="85" t="s">
        <v>90</v>
      </c>
      <c r="L6" s="86" t="s">
        <v>58</v>
      </c>
      <c r="M6" s="87" t="s">
        <v>13</v>
      </c>
      <c r="N6" s="88" t="s">
        <v>12</v>
      </c>
      <c r="O6" s="89" t="s">
        <v>9</v>
      </c>
      <c r="P6" s="90" t="s">
        <v>19</v>
      </c>
      <c r="Q6" s="91" t="s">
        <v>21</v>
      </c>
      <c r="R6" s="92" t="s">
        <v>10</v>
      </c>
      <c r="S6" s="93" t="s">
        <v>91</v>
      </c>
      <c r="T6" s="93" t="s">
        <v>92</v>
      </c>
      <c r="U6" s="93" t="s">
        <v>93</v>
      </c>
      <c r="V6" s="94" t="s">
        <v>94</v>
      </c>
      <c r="W6" s="93" t="s">
        <v>95</v>
      </c>
      <c r="X6" s="93" t="s">
        <v>96</v>
      </c>
      <c r="Y6" s="93" t="s">
        <v>97</v>
      </c>
      <c r="Z6" s="95" t="str">
        <f>HYPERLINK("#V1!A5","V1")</f>
        <v>V1</v>
      </c>
      <c r="AA6" s="95" t="str">
        <f>HYPERLINK("#V2!A5","V2")</f>
        <v>V2</v>
      </c>
      <c r="AB6" s="95" t="str">
        <f>HYPERLINK("#V3!A5","V3")</f>
        <v>V3</v>
      </c>
      <c r="AC6" s="95" t="str">
        <f>HYPERLINK("#V4!A5","V4")</f>
        <v>V4</v>
      </c>
      <c r="AD6" s="95" t="str">
        <f>HYPERLINK("#V5!A5","V5")</f>
        <v>V5</v>
      </c>
      <c r="AE6" s="95" t="str">
        <f>HYPERLINK("#V6!A5","V6")</f>
        <v>V6</v>
      </c>
      <c r="AF6" s="95" t="str">
        <f>HYPERLINK("#V7!A5","V7")</f>
        <v>V7</v>
      </c>
      <c r="AG6" s="95" t="str">
        <f>HYPERLINK("#V8!A5","V8")</f>
        <v>V8</v>
      </c>
      <c r="AH6" s="95" t="str">
        <f>HYPERLINK("#V9!A5","V9")</f>
        <v>V9</v>
      </c>
      <c r="AI6" s="95" t="str">
        <f>HYPERLINK("#V10!A5","V10")</f>
        <v>V10</v>
      </c>
      <c r="AJ6" s="96"/>
      <c r="AK6" s="348" t="s">
        <v>225</v>
      </c>
      <c r="AL6" s="97" t="s">
        <v>98</v>
      </c>
      <c r="AM6" s="98" t="str">
        <f>HYPERLINK("#'V-Fin'!J1","V-Fin")</f>
        <v>V-Fin</v>
      </c>
      <c r="AN6" s="972"/>
      <c r="AO6" s="974"/>
      <c r="AP6" s="975"/>
      <c r="AQ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I6" s="1">
        <f>LARGE(Z7:Z114,1)</f>
        <v>16</v>
      </c>
      <c r="BJ6" s="1">
        <f t="shared" ref="BJ6:BR6" si="0">LARGE(AA7:AA114,1)</f>
        <v>21</v>
      </c>
      <c r="BK6" s="1">
        <f t="shared" si="0"/>
        <v>24</v>
      </c>
      <c r="BL6" s="1">
        <f t="shared" si="0"/>
        <v>21</v>
      </c>
      <c r="BM6" s="1">
        <f t="shared" si="0"/>
        <v>21</v>
      </c>
      <c r="BN6" s="1">
        <f t="shared" si="0"/>
        <v>26</v>
      </c>
      <c r="BO6" s="1">
        <f t="shared" si="0"/>
        <v>18</v>
      </c>
      <c r="BP6" s="1">
        <f t="shared" si="0"/>
        <v>27</v>
      </c>
      <c r="BQ6" s="1">
        <f t="shared" si="0"/>
        <v>26</v>
      </c>
      <c r="BR6" s="1">
        <f t="shared" si="0"/>
        <v>21</v>
      </c>
    </row>
    <row r="7" spans="1:70" x14ac:dyDescent="0.2">
      <c r="A7" s="719">
        <f t="shared" ref="A7:A51" si="1">IF(R7&gt;0,IF(Q7="Viru SK",RANK(B7,B$7:B$51,1)-COUNTIF((Q$7:Q$51),"&lt;&gt;Viru SK"),""),"")</f>
        <v>1</v>
      </c>
      <c r="B7" s="312">
        <f t="shared" ref="B7:B51" si="2">IF((Q7="Viru SK"),U7,U7-1000)</f>
        <v>1</v>
      </c>
      <c r="C7" s="354">
        <f t="shared" ref="C7:C51" si="3">IF(R7&gt;0,IF(P7="t",RANK(D7,D$7:D$51,1)-COUNTBLANK(P$7:P$51),""),"")</f>
        <v>1</v>
      </c>
      <c r="D7" s="316">
        <f t="shared" ref="D7:D51" si="4">IF((P7="t"),U7,U7-1000)</f>
        <v>1</v>
      </c>
      <c r="E7" s="100">
        <f t="shared" ref="E7:E51" si="5">IF(R7&gt;0,IF(N7="m",RANK(F7,F$7:F$51,1)-COUNTBLANK(N$7:N$51),""),"")</f>
        <v>1</v>
      </c>
      <c r="F7" s="99">
        <f t="shared" ref="F7:F51" si="6">IF((N7="m"),U7,U7-1000)</f>
        <v>1</v>
      </c>
      <c r="G7" s="101" t="str">
        <f t="shared" ref="G7:G51" si="7">IF(R7&gt;0,IF(M7="n",RANK(H7,H$7:H$51,1)-COUNTBLANK(M$7:M$51),""),"")</f>
        <v/>
      </c>
      <c r="H7" s="99">
        <f t="shared" ref="H7:H51" si="8">IF((M7="n"),U7,U7-1000)</f>
        <v>-999</v>
      </c>
      <c r="I7" s="102" t="str">
        <f t="shared" ref="I7:I51" si="9">IF(R7&gt;0,IF(O7="j",RANK(J7,J$7:J$51,1)-COUNTBLANK(O$7:O$51),""),"")</f>
        <v/>
      </c>
      <c r="J7" s="103">
        <f t="shared" ref="J7:J51" si="10">IF((O7="j"),U7,U7-1000)</f>
        <v>-999</v>
      </c>
      <c r="K7" s="70">
        <f t="shared" ref="K7:K51" si="11">IF(R7&gt;0,RANK(U7,U$7:U$51,1),"")</f>
        <v>1</v>
      </c>
      <c r="L7" s="104" t="s">
        <v>110</v>
      </c>
      <c r="M7" s="105"/>
      <c r="N7" s="106" t="str">
        <f>IF(M7="","m","")</f>
        <v>m</v>
      </c>
      <c r="O7" s="107"/>
      <c r="P7" s="108" t="s">
        <v>233</v>
      </c>
      <c r="Q7" s="109" t="s">
        <v>86</v>
      </c>
      <c r="R7" s="110">
        <f>(IF(COUNT(Z7,AA7,AB7,AC7,AD7,AE7,AF7,AG7,AH7,AI7)&lt;10,SUM(Z7,AA7,AB7,AC7,AD7,AE7,AF7,AG7,AH7,AI7),SUM(LARGE((Z7,AA7,AB7,AC7,AD7,AE7,AF7,AG7,AH7,AI7),{1;2;3;4;5;6;7;8;9}))))</f>
        <v>159</v>
      </c>
      <c r="S7" s="111" t="str">
        <f>INDEX(ETAPP!B$1:B$32,MATCH(COUNTIF(BI7:BR7,1),ETAPP!A$1:A$32,0))&amp;INDEX(ETAPP!B$1:B$32,MATCH(COUNTIF(BI7:BR7,2),ETAPP!A$1:A$32,0))&amp;INDEX(ETAPP!B$1:B$32,MATCH(COUNTIF(BI7:BR7,3),ETAPP!A$1:A$32,0))&amp;INDEX(ETAPP!B$1:B$32,MATCH(COUNTIF(BI7:BR7,4),ETAPP!A$1:A$32,0))&amp;INDEX(ETAPP!B$1:B$32,MATCH(COUNTIF(BI7:BR7,5),ETAPP!A$1:A$32,0))&amp;INDEX(ETAPP!B$1:B$32,MATCH(COUNTIF(BI7:BR7,6),ETAPP!A$1:A$32,0))&amp;INDEX(ETAPP!B$1:B$32,MATCH(COUNTIF(BI7:BR7,7),ETAPP!A$1:A$32,0))&amp;INDEX(ETAPP!B$1:B$32,MATCH(COUNTIF(BI7:BR7,8),ETAPP!A$1:A$32,0))&amp;INDEX(ETAPP!B$1:B$32,MATCH(COUNTIF(BI7:BR7,9),ETAPP!A$1:A$32,0))&amp;INDEX(ETAPP!B$1:B$32,MATCH(COUNTIF(BI7:BR7,10),ETAPP!A$1:A$32,0))&amp;INDEX(ETAPP!B$1:B$32,MATCH(COUNTIF(BI7:BR7,11),ETAPP!A$1:A$32,0))&amp;INDEX(ETAPP!B$1:B$32,MATCH(COUNTIF(BI7:BR7,12),ETAPP!A$1:A$32,0))&amp;INDEX(ETAPP!B$1:B$32,MATCH(COUNTIF(BI7:BR7,13),ETAPP!A$1:A$32,0))&amp;INDEX(ETAPP!B$1:B$32,MATCH(COUNTIF(BI7:BR7,14),ETAPP!A$1:A$32,0))&amp;INDEX(ETAPP!B$1:B$32,MATCH(COUNTIF(BI7:BR7,15),ETAPP!A$1:A$32,0))&amp;INDEX(ETAPP!B$1:B$32,MATCH(COUNTIF(BI7:BR7,16),ETAPP!A$1:A$32,0))&amp;INDEX(ETAPP!B$1:B$32,MATCH(COUNTIF(BI7:BR7,17),ETAPP!A$1:A$32,0))&amp;INDEX(ETAPP!B$1:B$32,MATCH(COUNTIF(BI7:BR7,18),ETAPP!A$1:A$32,0))&amp;INDEX(ETAPP!B$1:B$32,MATCH(COUNTIF(BI7:BR7,19),ETAPP!A$1:A$32,0))&amp;INDEX(ETAPP!B$1:B$32,MATCH(COUNTIF(BI7:BR7,20),ETAPP!A$1:A$32,0))&amp;INDEX(ETAPP!B$1:B$32,MATCH(COUNTIF(BI7:BR7,21),ETAPP!A$1:A$32,0))</f>
        <v>DB0000000000000000000</v>
      </c>
      <c r="T7" s="111" t="str">
        <f t="shared" ref="T7:T51" si="12">TEXT(R7,"000,0")&amp;"-"&amp;S7</f>
        <v>159,0-DB0000000000000000000</v>
      </c>
      <c r="U7" s="111">
        <f t="shared" ref="U7:U51" si="13">COUNTIF(T$7:T$51,"&gt;="&amp;T7)</f>
        <v>1</v>
      </c>
      <c r="V7" s="111">
        <f t="shared" ref="V7:V51" si="14">COUNTIF(L$7:L$51,"&gt;="&amp;L7)</f>
        <v>33</v>
      </c>
      <c r="W7" s="111" t="str">
        <f t="shared" ref="W7:W51" si="15">TEXT(R7,"000,0")&amp;"-"&amp;S7&amp;"-"&amp;TEXT(V7,"000")</f>
        <v>159,0-DB0000000000000000000-033</v>
      </c>
      <c r="X7" s="111">
        <f t="shared" ref="X7:X51" si="16">COUNTIF(W$7:W$51,"&gt;="&amp;W7)</f>
        <v>1</v>
      </c>
      <c r="Y7" s="112">
        <f t="shared" ref="Y7:Y51" si="17">RANK(X7,X$7:X$51,0)</f>
        <v>45</v>
      </c>
      <c r="Z7" s="113" t="str">
        <f>IFERROR(INDEX('V1'!C$300:C$400,MATCH("*"&amp;L7&amp;"*",'V1'!B$300:B$400,0)),"  ")</f>
        <v xml:space="preserve">  </v>
      </c>
      <c r="AA7" s="113">
        <f>IFERROR(INDEX('V2'!C$300:C$389,MATCH("*"&amp;L7&amp;"*",'V2'!B$300:B$389,0)),"  ")</f>
        <v>21</v>
      </c>
      <c r="AB7" s="113">
        <f>IFERROR(INDEX('V3'!C$300:C$399,MATCH("*"&amp;L7&amp;"*",'V3'!B$300:B$399,0)),"  ")</f>
        <v>22</v>
      </c>
      <c r="AC7" s="113">
        <f>IFERROR(INDEX('V4'!C$300:C$400,MATCH("*"&amp;L7&amp;"*",'V4'!B$300:B$400,0)),"  ")</f>
        <v>21</v>
      </c>
      <c r="AD7" s="113" t="str">
        <f>IFERROR(INDEX('V5'!C$300:C$400,MATCH("*"&amp;L7&amp;"*",'V5'!B$300:B$400,0)),"  ")</f>
        <v xml:space="preserve">  </v>
      </c>
      <c r="AE7" s="113">
        <f>IFERROR(INDEX('V6'!C$300:C$400,MATCH("*"&amp;L7&amp;"*",'V6'!B$300:B$400,0)),"  ")</f>
        <v>26</v>
      </c>
      <c r="AF7" s="113" t="str">
        <f>IFERROR(INDEX('V7'!C$300:C$400,MATCH("*"&amp;L7&amp;"*",'V7'!B$300:B$400,0)),"  ")</f>
        <v xml:space="preserve">  </v>
      </c>
      <c r="AG7" s="113">
        <f>IFERROR(INDEX('V8'!C$300:C$400,MATCH("*"&amp;L7&amp;"*",'V8'!B$300:B$400,0)),"  ")</f>
        <v>27</v>
      </c>
      <c r="AH7" s="113">
        <f>IFERROR(INDEX('V9'!C$300:C$400,MATCH("*"&amp;L7&amp;"*",'V9'!B$300:B$400,0)),"  ")</f>
        <v>24</v>
      </c>
      <c r="AI7" s="113">
        <f>IFERROR(INDEX('V10'!C$300:C$400,MATCH("*"&amp;L7&amp;"*",'V10'!B$300:B$400,0)),"  ")</f>
        <v>18</v>
      </c>
      <c r="AJ7" s="114">
        <f t="shared" ref="AJ7:AJ51" si="18">IF(AN7&gt;(AT$2-1),K7,"")</f>
        <v>1</v>
      </c>
      <c r="AK7" s="346">
        <f t="shared" ref="AK7:AK51" si="19">SUM(Z7:AI7)</f>
        <v>159</v>
      </c>
      <c r="AL7" s="115" t="str">
        <f t="shared" ref="AL7:AL51" si="20">IFERROR("edasi "&amp;RANK(AJ7,AJ$7:AJ$51,1),K7)</f>
        <v>edasi 1</v>
      </c>
      <c r="AM7" s="116" t="str">
        <f>IFERROR(INDEX(#REF!,MATCH("*"&amp;L7&amp;"*",#REF!,0)),"  ")</f>
        <v xml:space="preserve">  </v>
      </c>
      <c r="AN7" s="117">
        <f t="shared" ref="AN7:AN51" si="21">COUNTIF(Z7:AI7,"&gt;=0")</f>
        <v>7</v>
      </c>
      <c r="AO7" s="118">
        <f t="shared" ref="AO7:AO51" si="22">IFERROR(IF(Z7+1&gt;LARGE(Z$7:Z$51,1)-2*LEN(Z$5),1),0)+IFERROR(IF(AA7+1&gt;LARGE(AA$7:AA$51,1)-2*LEN(AA$5),1),0)+IFERROR(IF(AB7+1&gt;LARGE(AB$7:AB$51,1)-2*LEN(AB$5),1),0)+IFERROR(IF(AC7+1&gt;LARGE(AC$7:AC$51,1)-2*LEN(AC$5),1),0)+IFERROR(IF(AD7+1&gt;LARGE(AD$7:AD$51,1)-2*LEN(AD$5),1),0)+IFERROR(IF(AE7+1&gt;LARGE(AE$7:AE$51,1)-2*LEN(AE$5),1),0)+IFERROR(IF(AF7+1&gt;LARGE(AF$7:AF$51,1)-2*LEN(AF$5),1),0)+IFERROR(IF(AG7+1&gt;LARGE(AG$7:AG$51,1)-2*LEN(AG$5),1),0)+IFERROR(IF(AH7+1&gt;LARGE(AH$7:AH$51,1)-2*LEN(AH$5),1),0)+IFERROR(IF(AI7+1&gt;LARGE(AI$7:AI$51,1)-2*LEN(AI$5),1),0)</f>
        <v>7</v>
      </c>
      <c r="AP7" s="118">
        <f t="shared" ref="AP7:AP51" si="23">IF(Z7=0,0,IF(Z7=IFERROR(LARGE(Z$7:Z$51,1),0),1,0))+IF(AA7=0,0,IF(AA7=IFERROR(LARGE(AA$7:AA$51,1),0),1,0))+IF(AB7=0,0,IF(AB7=IFERROR(LARGE(AB$7:AB$51,1),0),1,0))+IF(AC7=0,0,IF(AC7=IFERROR(LARGE(AC$7:AC$51,1),0),1,0))+IF(AD7=0,0,IF(AD7=IFERROR(LARGE(AD$7:AD$51,1),0),1,0))+IF(AE7=0,0,IF(AE7=IFERROR(LARGE(AE$7:AE$51,1),0),1,0))+IF(AF7=0,0,IF(AF7=IFERROR(LARGE(AF$7:AF$51,1),0),1,0))+IF(AG7=0,0,IF(AG7=IFERROR(LARGE(AG$7:AG$51,1),0),1,0))+IF(AH7=0,0,IF(AH7=IFERROR(LARGE(AH$7:AH$51,1),0),1,0))+IF(AI7=0,0,IF(AI7=IFERROR(LARGE(AI$7:AI$51,1),0),1,0))</f>
        <v>4</v>
      </c>
      <c r="AQ7" s="122"/>
      <c r="AR7" s="122"/>
      <c r="AS7" s="122"/>
      <c r="AT7" s="119">
        <f t="shared" ref="AT7:AT51" si="24">SMALL(AU7:BD7,AT$3)</f>
        <v>1E-4</v>
      </c>
      <c r="AU7" s="120">
        <f t="shared" ref="AU7:AU51" si="25">IF(Z7="  ",0+MID(Z$6,FIND("V",Z$6)+1,256)/10000,Z7+MID(Z$6,FIND("V",Z$6)+1,256)/10000)</f>
        <v>1E-4</v>
      </c>
      <c r="AV7" s="120">
        <f t="shared" ref="AV7:AV51" si="26">IF(AA7="  ",0+MID(AA$6,FIND("V",AA$6)+1,256)/10000,AA7+MID(AA$6,FIND("V",AA$6)+1,256)/10000)</f>
        <v>21.0002</v>
      </c>
      <c r="AW7" s="120">
        <f t="shared" ref="AW7:AW51" si="27">IF(AB7="  ",0+MID(AB$6,FIND("V",AB$6)+1,256)/10000,AB7+MID(AB$6,FIND("V",AB$6)+1,256)/10000)</f>
        <v>22.000299999999999</v>
      </c>
      <c r="AX7" s="120">
        <f t="shared" ref="AX7:AX51" si="28">IF(AC7="  ",0+MID(AC$6,FIND("V",AC$6)+1,256)/10000,AC7+MID(AC$6,FIND("V",AC$6)+1,256)/10000)</f>
        <v>21.000399999999999</v>
      </c>
      <c r="AY7" s="120">
        <f t="shared" ref="AY7:AY51" si="29">IF(AD7="  ",0+MID(AD$6,FIND("V",AD$6)+1,256)/10000,AD7+MID(AD$6,FIND("V",AD$6)+1,256)/10000)</f>
        <v>5.0000000000000001E-4</v>
      </c>
      <c r="AZ7" s="120">
        <f t="shared" ref="AZ7:AZ51" si="30">IF(AE7="  ",0+MID(AE$6,FIND("V",AE$6)+1,256)/10000,AE7+MID(AE$6,FIND("V",AE$6)+1,256)/10000)</f>
        <v>26.000599999999999</v>
      </c>
      <c r="BA7" s="120">
        <f t="shared" ref="BA7:BA51" si="31">IF(AF7="  ",0+MID(AF$6,FIND("V",AF$6)+1,256)/10000,AF7+MID(AF$6,FIND("V",AF$6)+1,256)/10000)</f>
        <v>6.9999999999999999E-4</v>
      </c>
      <c r="BB7" s="120">
        <f t="shared" ref="BB7:BB51" si="32">IF(AG7="  ",0+MID(AG$6,FIND("V",AG$6)+1,256)/10000,AG7+MID(AG$6,FIND("V",AG$6)+1,256)/10000)</f>
        <v>27.000800000000002</v>
      </c>
      <c r="BC7" s="120">
        <f t="shared" ref="BC7:BC51" si="33">IF(AH7="  ",0+MID(AH$6,FIND("V",AH$6)+1,256)/10000,AH7+MID(AH$6,FIND("V",AH$6)+1,256)/10000)</f>
        <v>24.000900000000001</v>
      </c>
      <c r="BD7" s="120">
        <f t="shared" ref="BD7:BD51" si="34">IF(AI7="  ",0+MID(AI$6,FIND("V",AI$6)+1,256)/10000,AI7+MID(AI$6,FIND("V",AI$6)+1,256)/10000)</f>
        <v>18.001000000000001</v>
      </c>
      <c r="BE7" s="122"/>
      <c r="BI7" s="1" t="e">
        <f t="shared" ref="BI7:BI51" si="35">(LARGE(Z$7:Z$114,1)-Z7)/2+1</f>
        <v>#VALUE!</v>
      </c>
      <c r="BJ7" s="1">
        <f t="shared" ref="BJ7:BJ51" si="36">(LARGE(AA$7:AA$114,1)-AA7)/2+1</f>
        <v>1</v>
      </c>
      <c r="BK7" s="1">
        <f t="shared" ref="BK7:BK51" si="37">(LARGE(AB$7:AB$114,1)-AB7)/2+1</f>
        <v>2</v>
      </c>
      <c r="BL7" s="1">
        <f t="shared" ref="BL7:BL51" si="38">(LARGE(AC$7:AC$114,1)-AC7)/2+1</f>
        <v>1</v>
      </c>
      <c r="BM7" s="1" t="e">
        <f t="shared" ref="BM7:BM51" si="39">(LARGE(AD$7:AD$114,1)-AD7)/2+1</f>
        <v>#VALUE!</v>
      </c>
      <c r="BN7" s="1">
        <f t="shared" ref="BN7:BN51" si="40">(LARGE(AE$7:AE$114,1)-AE7)/2+1</f>
        <v>1</v>
      </c>
      <c r="BO7" s="1" t="e">
        <f t="shared" ref="BO7:BO51" si="41">(LARGE(AF$7:AF$114,1)-AF7)/2+1</f>
        <v>#VALUE!</v>
      </c>
      <c r="BP7" s="1">
        <f t="shared" ref="BP7:BP51" si="42">(LARGE(AG$7:AG$114,1)-AG7)/2+1</f>
        <v>1</v>
      </c>
      <c r="BQ7" s="1">
        <f t="shared" ref="BQ7:BQ51" si="43">(LARGE(AH$7:AH$114,1)-AH7)/2+1</f>
        <v>2</v>
      </c>
      <c r="BR7" s="1">
        <f t="shared" ref="BR7:BR51" si="44">(LARGE(AI$7:AI$114,1)-AI7)/2+1</f>
        <v>2.5</v>
      </c>
    </row>
    <row r="8" spans="1:70" x14ac:dyDescent="0.2">
      <c r="A8" s="719">
        <f t="shared" si="1"/>
        <v>2</v>
      </c>
      <c r="B8" s="312">
        <f t="shared" si="2"/>
        <v>2</v>
      </c>
      <c r="C8" s="354">
        <f t="shared" si="3"/>
        <v>2</v>
      </c>
      <c r="D8" s="316">
        <f t="shared" si="4"/>
        <v>2</v>
      </c>
      <c r="E8" s="100">
        <f t="shared" si="5"/>
        <v>2</v>
      </c>
      <c r="F8" s="99">
        <f t="shared" si="6"/>
        <v>2</v>
      </c>
      <c r="G8" s="101" t="str">
        <f t="shared" si="7"/>
        <v/>
      </c>
      <c r="H8" s="99">
        <f t="shared" si="8"/>
        <v>-998</v>
      </c>
      <c r="I8" s="102" t="str">
        <f t="shared" si="9"/>
        <v/>
      </c>
      <c r="J8" s="103">
        <f t="shared" si="10"/>
        <v>-998</v>
      </c>
      <c r="K8" s="70">
        <f t="shared" si="11"/>
        <v>2</v>
      </c>
      <c r="L8" s="121" t="s">
        <v>121</v>
      </c>
      <c r="M8" s="105"/>
      <c r="N8" s="106" t="s">
        <v>101</v>
      </c>
      <c r="O8" s="138"/>
      <c r="P8" s="108" t="s">
        <v>233</v>
      </c>
      <c r="Q8" s="109" t="s">
        <v>86</v>
      </c>
      <c r="R8" s="110">
        <f>(IF(COUNT(Z8,AA8,AB8,AC8,AD8,AE8,AF8,AG8,AH8,AI8)&lt;10,SUM(Z8,AA8,AB8,AC8,AD8,AE8,AF8,AG8,AH8,AI8),SUM(LARGE((Z8,AA8,AB8,AC8,AD8,AE8,AF8,AG8,AH8,AI8),{1;2;3;4;5;6;7;8;9}))))</f>
        <v>153</v>
      </c>
      <c r="S8" s="111" t="str">
        <f>INDEX(ETAPP!B$1:B$32,MATCH(COUNTIF(BI8:BR8,1),ETAPP!A$1:A$32,0))&amp;INDEX(ETAPP!B$1:B$32,MATCH(COUNTIF(BI8:BR8,2),ETAPP!A$1:A$32,0))&amp;INDEX(ETAPP!B$1:B$32,MATCH(COUNTIF(BI8:BR8,3),ETAPP!A$1:A$32,0))&amp;INDEX(ETAPP!B$1:B$32,MATCH(COUNTIF(BI8:BR8,4),ETAPP!A$1:A$32,0))&amp;INDEX(ETAPP!B$1:B$32,MATCH(COUNTIF(BI8:BR8,5),ETAPP!A$1:A$32,0))&amp;INDEX(ETAPP!B$1:B$32,MATCH(COUNTIF(BI8:BR8,6),ETAPP!A$1:A$32,0))&amp;INDEX(ETAPP!B$1:B$32,MATCH(COUNTIF(BI8:BR8,7),ETAPP!A$1:A$32,0))&amp;INDEX(ETAPP!B$1:B$32,MATCH(COUNTIF(BI8:BR8,8),ETAPP!A$1:A$32,0))&amp;INDEX(ETAPP!B$1:B$32,MATCH(COUNTIF(BI8:BR8,9),ETAPP!A$1:A$32,0))&amp;INDEX(ETAPP!B$1:B$32,MATCH(COUNTIF(BI8:BR8,10),ETAPP!A$1:A$32,0))&amp;INDEX(ETAPP!B$1:B$32,MATCH(COUNTIF(BI8:BR8,11),ETAPP!A$1:A$32,0))&amp;INDEX(ETAPP!B$1:B$32,MATCH(COUNTIF(BI8:BR8,12),ETAPP!A$1:A$32,0))&amp;INDEX(ETAPP!B$1:B$32,MATCH(COUNTIF(BI8:BR8,13),ETAPP!A$1:A$32,0))&amp;INDEX(ETAPP!B$1:B$32,MATCH(COUNTIF(BI8:BR8,14),ETAPP!A$1:A$32,0))&amp;INDEX(ETAPP!B$1:B$32,MATCH(COUNTIF(BI8:BR8,15),ETAPP!A$1:A$32,0))&amp;INDEX(ETAPP!B$1:B$32,MATCH(COUNTIF(BI8:BR8,16),ETAPP!A$1:A$32,0))&amp;INDEX(ETAPP!B$1:B$32,MATCH(COUNTIF(BI8:BR8,17),ETAPP!A$1:A$32,0))&amp;INDEX(ETAPP!B$1:B$32,MATCH(COUNTIF(BI8:BR8,18),ETAPP!A$1:A$32,0))&amp;INDEX(ETAPP!B$1:B$32,MATCH(COUNTIF(BI8:BR8,19),ETAPP!A$1:A$32,0))&amp;INDEX(ETAPP!B$1:B$32,MATCH(COUNTIF(BI8:BR8,20),ETAPP!A$1:A$32,0))&amp;INDEX(ETAPP!B$1:B$32,MATCH(COUNTIF(BI8:BR8,21),ETAPP!A$1:A$32,0))</f>
        <v>00ABA0B00000000000000</v>
      </c>
      <c r="T8" s="111" t="str">
        <f t="shared" si="12"/>
        <v>153,0-00ABA0B00000000000000</v>
      </c>
      <c r="U8" s="111">
        <f t="shared" si="13"/>
        <v>2</v>
      </c>
      <c r="V8" s="111">
        <f t="shared" si="14"/>
        <v>23</v>
      </c>
      <c r="W8" s="111" t="str">
        <f t="shared" si="15"/>
        <v>153,0-00ABA0B00000000000000-023</v>
      </c>
      <c r="X8" s="111">
        <f t="shared" si="16"/>
        <v>2</v>
      </c>
      <c r="Y8" s="112">
        <f t="shared" si="17"/>
        <v>44</v>
      </c>
      <c r="Z8" s="113">
        <f>IFERROR(INDEX('V1'!C$300:C$400,MATCH("*"&amp;L8&amp;"*",'V1'!B$300:B$400,0)),"  ")</f>
        <v>4</v>
      </c>
      <c r="AA8" s="113">
        <f>IFERROR(INDEX('V2'!C$300:C$389,MATCH("*"&amp;L8&amp;"*",'V2'!B$300:B$389,0)),"  ")</f>
        <v>12</v>
      </c>
      <c r="AB8" s="113">
        <f>IFERROR(INDEX('V3'!C$300:C$399,MATCH("*"&amp;L8&amp;"*",'V3'!B$300:B$399,0)),"  ")</f>
        <v>18</v>
      </c>
      <c r="AC8" s="113">
        <f>IFERROR(INDEX('V4'!C$300:C$400,MATCH("*"&amp;L8&amp;"*",'V4'!B$300:B$400,0)),"  ")</f>
        <v>18</v>
      </c>
      <c r="AD8" s="113">
        <f>IFERROR(INDEX('V5'!C$300:C$400,MATCH("*"&amp;L8&amp;"*",'V5'!B$300:B$400,0)),"  ")</f>
        <v>20</v>
      </c>
      <c r="AE8" s="113">
        <f>IFERROR(INDEX('V6'!C$300:C$400,MATCH("*"&amp;L8&amp;"*",'V6'!B$300:B$400,0)),"  ")</f>
        <v>22</v>
      </c>
      <c r="AF8" s="113">
        <f>IFERROR(INDEX('V7'!C$300:C$400,MATCH("*"&amp;L8&amp;"*",'V7'!B$300:B$400,0)),"  ")</f>
        <v>12</v>
      </c>
      <c r="AG8" s="113">
        <f>IFERROR(INDEX('V8'!C$300:C$400,MATCH("*"&amp;L8&amp;"*",'V8'!B$300:B$400,0)),"  ")</f>
        <v>24</v>
      </c>
      <c r="AH8" s="113">
        <f>IFERROR(INDEX('V9'!C$300:C$400,MATCH("*"&amp;L8&amp;"*",'V9'!B$300:B$400,0)),"  ")</f>
        <v>18</v>
      </c>
      <c r="AI8" s="113">
        <f>IFERROR(INDEX('V10'!C$300:C$400,MATCH("*"&amp;L8&amp;"*",'V10'!B$300:B$400,0)),"  ")</f>
        <v>9</v>
      </c>
      <c r="AJ8" s="114">
        <f t="shared" si="18"/>
        <v>2</v>
      </c>
      <c r="AK8" s="346">
        <f t="shared" si="19"/>
        <v>157</v>
      </c>
      <c r="AL8" s="115" t="str">
        <f t="shared" si="20"/>
        <v>edasi 2</v>
      </c>
      <c r="AM8" s="116" t="str">
        <f>IFERROR(INDEX(#REF!,MATCH("*"&amp;L8&amp;"*",#REF!,0)),"  ")</f>
        <v xml:space="preserve">  </v>
      </c>
      <c r="AN8" s="117">
        <f t="shared" si="21"/>
        <v>10</v>
      </c>
      <c r="AO8" s="118">
        <f t="shared" si="22"/>
        <v>5</v>
      </c>
      <c r="AP8" s="118">
        <f t="shared" si="23"/>
        <v>1</v>
      </c>
      <c r="AQ8" s="122"/>
      <c r="AR8" s="122"/>
      <c r="AS8" s="122"/>
      <c r="AT8" s="119">
        <f t="shared" si="24"/>
        <v>4.0000999999999998</v>
      </c>
      <c r="AU8" s="120">
        <f t="shared" si="25"/>
        <v>4.0000999999999998</v>
      </c>
      <c r="AV8" s="120">
        <f t="shared" si="26"/>
        <v>12.0002</v>
      </c>
      <c r="AW8" s="120">
        <f t="shared" si="27"/>
        <v>18.000299999999999</v>
      </c>
      <c r="AX8" s="120">
        <f t="shared" si="28"/>
        <v>18.000399999999999</v>
      </c>
      <c r="AY8" s="120">
        <f t="shared" si="29"/>
        <v>20.000499999999999</v>
      </c>
      <c r="AZ8" s="120">
        <f t="shared" si="30"/>
        <v>22.000599999999999</v>
      </c>
      <c r="BA8" s="120">
        <f t="shared" si="31"/>
        <v>12.0007</v>
      </c>
      <c r="BB8" s="120">
        <f t="shared" si="32"/>
        <v>24.000800000000002</v>
      </c>
      <c r="BC8" s="120">
        <f t="shared" si="33"/>
        <v>18.000900000000001</v>
      </c>
      <c r="BD8" s="120">
        <f t="shared" si="34"/>
        <v>9.0009999999999994</v>
      </c>
      <c r="BE8" s="122"/>
      <c r="BI8" s="1">
        <f t="shared" si="35"/>
        <v>7</v>
      </c>
      <c r="BJ8" s="1">
        <f t="shared" si="36"/>
        <v>5.5</v>
      </c>
      <c r="BK8" s="1">
        <f t="shared" si="37"/>
        <v>4</v>
      </c>
      <c r="BL8" s="1">
        <f t="shared" si="38"/>
        <v>2.5</v>
      </c>
      <c r="BM8" s="1">
        <f t="shared" si="39"/>
        <v>1.5</v>
      </c>
      <c r="BN8" s="1">
        <f t="shared" si="40"/>
        <v>3</v>
      </c>
      <c r="BO8" s="1">
        <f t="shared" si="41"/>
        <v>4</v>
      </c>
      <c r="BP8" s="1">
        <f t="shared" si="42"/>
        <v>2.5</v>
      </c>
      <c r="BQ8" s="1">
        <f t="shared" si="43"/>
        <v>5</v>
      </c>
      <c r="BR8" s="1">
        <f t="shared" si="44"/>
        <v>7</v>
      </c>
    </row>
    <row r="9" spans="1:70" x14ac:dyDescent="0.2">
      <c r="A9" s="719">
        <f t="shared" si="1"/>
        <v>3</v>
      </c>
      <c r="B9" s="99">
        <f t="shared" si="2"/>
        <v>3</v>
      </c>
      <c r="C9" s="354" t="str">
        <f t="shared" si="3"/>
        <v/>
      </c>
      <c r="D9" s="316">
        <f t="shared" si="4"/>
        <v>-997</v>
      </c>
      <c r="E9" s="100">
        <f t="shared" si="5"/>
        <v>3</v>
      </c>
      <c r="F9" s="99">
        <f t="shared" si="6"/>
        <v>3</v>
      </c>
      <c r="G9" s="101" t="str">
        <f t="shared" si="7"/>
        <v/>
      </c>
      <c r="H9" s="99">
        <f t="shared" si="8"/>
        <v>-997</v>
      </c>
      <c r="I9" s="102" t="str">
        <f t="shared" si="9"/>
        <v/>
      </c>
      <c r="J9" s="103">
        <f t="shared" si="10"/>
        <v>-997</v>
      </c>
      <c r="K9" s="70">
        <f t="shared" si="11"/>
        <v>3</v>
      </c>
      <c r="L9" s="104" t="s">
        <v>181</v>
      </c>
      <c r="M9" s="105"/>
      <c r="N9" s="106" t="s">
        <v>101</v>
      </c>
      <c r="O9" s="107"/>
      <c r="P9" s="108"/>
      <c r="Q9" s="109" t="s">
        <v>86</v>
      </c>
      <c r="R9" s="110">
        <f>(IF(COUNT(Z9,AA9,AB9,AC9,AD9,AE9,AF9,AG9,AH9,AI9)&lt;10,SUM(Z9,AA9,AB9,AC9,AD9,AE9,AF9,AG9,AH9,AI9),SUM(LARGE((Z9,AA9,AB9,AC9,AD9,AE9,AF9,AG9,AH9,AI9),{1;2;3;4;5;6;7;8;9}))))</f>
        <v>143</v>
      </c>
      <c r="S9" s="111" t="str">
        <f>INDEX(ETAPP!B$1:B$32,MATCH(COUNTIF(BI9:BR9,1),ETAPP!A$1:A$32,0))&amp;INDEX(ETAPP!B$1:B$32,MATCH(COUNTIF(BI9:BR9,2),ETAPP!A$1:A$32,0))&amp;INDEX(ETAPP!B$1:B$32,MATCH(COUNTIF(BI9:BR9,3),ETAPP!A$1:A$32,0))&amp;INDEX(ETAPP!B$1:B$32,MATCH(COUNTIF(BI9:BR9,4),ETAPP!A$1:A$32,0))&amp;INDEX(ETAPP!B$1:B$32,MATCH(COUNTIF(BI9:BR9,5),ETAPP!A$1:A$32,0))&amp;INDEX(ETAPP!B$1:B$32,MATCH(COUNTIF(BI9:BR9,6),ETAPP!A$1:A$32,0))&amp;INDEX(ETAPP!B$1:B$32,MATCH(COUNTIF(BI9:BR9,7),ETAPP!A$1:A$32,0))&amp;INDEX(ETAPP!B$1:B$32,MATCH(COUNTIF(BI9:BR9,8),ETAPP!A$1:A$32,0))&amp;INDEX(ETAPP!B$1:B$32,MATCH(COUNTIF(BI9:BR9,9),ETAPP!A$1:A$32,0))&amp;INDEX(ETAPP!B$1:B$32,MATCH(COUNTIF(BI9:BR9,10),ETAPP!A$1:A$32,0))&amp;INDEX(ETAPP!B$1:B$32,MATCH(COUNTIF(BI9:BR9,11),ETAPP!A$1:A$32,0))&amp;INDEX(ETAPP!B$1:B$32,MATCH(COUNTIF(BI9:BR9,12),ETAPP!A$1:A$32,0))&amp;INDEX(ETAPP!B$1:B$32,MATCH(COUNTIF(BI9:BR9,13),ETAPP!A$1:A$32,0))&amp;INDEX(ETAPP!B$1:B$32,MATCH(COUNTIF(BI9:BR9,14),ETAPP!A$1:A$32,0))&amp;INDEX(ETAPP!B$1:B$32,MATCH(COUNTIF(BI9:BR9,15),ETAPP!A$1:A$32,0))&amp;INDEX(ETAPP!B$1:B$32,MATCH(COUNTIF(BI9:BR9,16),ETAPP!A$1:A$32,0))&amp;INDEX(ETAPP!B$1:B$32,MATCH(COUNTIF(BI9:BR9,17),ETAPP!A$1:A$32,0))&amp;INDEX(ETAPP!B$1:B$32,MATCH(COUNTIF(BI9:BR9,18),ETAPP!A$1:A$32,0))&amp;INDEX(ETAPP!B$1:B$32,MATCH(COUNTIF(BI9:BR9,19),ETAPP!A$1:A$32,0))&amp;INDEX(ETAPP!B$1:B$32,MATCH(COUNTIF(BI9:BR9,20),ETAPP!A$1:A$32,0))&amp;INDEX(ETAPP!B$1:B$32,MATCH(COUNTIF(BI9:BR9,21),ETAPP!A$1:A$32,0))</f>
        <v>B0AB000000A0000000000</v>
      </c>
      <c r="T9" s="111" t="str">
        <f t="shared" si="12"/>
        <v>143,0-B0AB000000A0000000000</v>
      </c>
      <c r="U9" s="111">
        <f t="shared" si="13"/>
        <v>3</v>
      </c>
      <c r="V9" s="111">
        <f t="shared" si="14"/>
        <v>32</v>
      </c>
      <c r="W9" s="111" t="str">
        <f t="shared" si="15"/>
        <v>143,0-B0AB000000A0000000000-032</v>
      </c>
      <c r="X9" s="111">
        <f t="shared" si="16"/>
        <v>3</v>
      </c>
      <c r="Y9" s="112">
        <f t="shared" si="17"/>
        <v>43</v>
      </c>
      <c r="Z9" s="113">
        <f>IFERROR(INDEX('V1'!C$300:C$400,MATCH("*"&amp;L9&amp;"*",'V1'!B$300:B$400,0)),"  ")</f>
        <v>12</v>
      </c>
      <c r="AA9" s="113">
        <f>IFERROR(INDEX('V2'!C$300:C$389,MATCH("*"&amp;L9&amp;"*",'V2'!B$300:B$389,0)),"  ")</f>
        <v>12</v>
      </c>
      <c r="AB9" s="113">
        <f>IFERROR(INDEX('V3'!C$300:C$399,MATCH("*"&amp;L9&amp;"*",'V3'!B$300:B$399,0)),"  ")</f>
        <v>24</v>
      </c>
      <c r="AC9" s="113">
        <f>IFERROR(INDEX('V4'!C$300:C$400,MATCH("*"&amp;L9&amp;"*",'V4'!B$300:B$400,0)),"  ")</f>
        <v>18</v>
      </c>
      <c r="AD9" s="113">
        <f>IFERROR(INDEX('V5'!C$300:C$400,MATCH("*"&amp;L9&amp;"*",'V5'!B$300:B$400,0)),"  ")</f>
        <v>12</v>
      </c>
      <c r="AE9" s="113">
        <f>IFERROR(INDEX('V6'!C$300:C$400,MATCH("*"&amp;L9&amp;"*",'V6'!B$300:B$400,0)),"  ")</f>
        <v>6</v>
      </c>
      <c r="AF9" s="113">
        <f>IFERROR(INDEX('V7'!C$300:C$400,MATCH("*"&amp;L9&amp;"*",'V7'!B$300:B$400,0)),"  ")</f>
        <v>12</v>
      </c>
      <c r="AG9" s="113">
        <f>IFERROR(INDEX('V8'!C$300:C$400,MATCH("*"&amp;L9&amp;"*",'V8'!B$300:B$400,0)),"  ")</f>
        <v>27</v>
      </c>
      <c r="AH9" s="113">
        <f>IFERROR(INDEX('V9'!C$300:C$400,MATCH("*"&amp;L9&amp;"*",'V9'!B$300:B$400,0)),"  ")</f>
        <v>20</v>
      </c>
      <c r="AI9" s="113" t="str">
        <f>IFERROR(INDEX('V10'!C$300:C$400,MATCH("*"&amp;L9&amp;"*",'V10'!B$300:B$400,0)),"  ")</f>
        <v xml:space="preserve">  </v>
      </c>
      <c r="AJ9" s="114">
        <f t="shared" si="18"/>
        <v>3</v>
      </c>
      <c r="AK9" s="346">
        <f t="shared" si="19"/>
        <v>143</v>
      </c>
      <c r="AL9" s="115" t="str">
        <f t="shared" si="20"/>
        <v>edasi 3</v>
      </c>
      <c r="AM9" s="116" t="str">
        <f>IFERROR(INDEX(#REF!,MATCH("*"&amp;L9&amp;"*",#REF!,0)),"  ")</f>
        <v xml:space="preserve">  </v>
      </c>
      <c r="AN9" s="117">
        <f t="shared" si="21"/>
        <v>9</v>
      </c>
      <c r="AO9" s="118">
        <f t="shared" si="22"/>
        <v>5</v>
      </c>
      <c r="AP9" s="118">
        <f t="shared" si="23"/>
        <v>2</v>
      </c>
      <c r="AQ9" s="122"/>
      <c r="AR9" s="122"/>
      <c r="AS9" s="122"/>
      <c r="AT9" s="119">
        <f t="shared" si="24"/>
        <v>1E-3</v>
      </c>
      <c r="AU9" s="120">
        <f t="shared" si="25"/>
        <v>12.0001</v>
      </c>
      <c r="AV9" s="120">
        <f t="shared" si="26"/>
        <v>12.0002</v>
      </c>
      <c r="AW9" s="120">
        <f t="shared" si="27"/>
        <v>24.000299999999999</v>
      </c>
      <c r="AX9" s="120">
        <f t="shared" si="28"/>
        <v>18.000399999999999</v>
      </c>
      <c r="AY9" s="120">
        <f t="shared" si="29"/>
        <v>12.000500000000001</v>
      </c>
      <c r="AZ9" s="120">
        <f t="shared" si="30"/>
        <v>6.0006000000000004</v>
      </c>
      <c r="BA9" s="120">
        <f t="shared" si="31"/>
        <v>12.0007</v>
      </c>
      <c r="BB9" s="120">
        <f t="shared" si="32"/>
        <v>27.000800000000002</v>
      </c>
      <c r="BC9" s="120">
        <f t="shared" si="33"/>
        <v>20.000900000000001</v>
      </c>
      <c r="BD9" s="120">
        <f t="shared" si="34"/>
        <v>1E-3</v>
      </c>
      <c r="BE9" s="122"/>
      <c r="BI9" s="1">
        <f t="shared" si="35"/>
        <v>3</v>
      </c>
      <c r="BJ9" s="1">
        <f t="shared" si="36"/>
        <v>5.5</v>
      </c>
      <c r="BK9" s="1">
        <f t="shared" si="37"/>
        <v>1</v>
      </c>
      <c r="BL9" s="1">
        <f t="shared" si="38"/>
        <v>2.5</v>
      </c>
      <c r="BM9" s="1">
        <f t="shared" si="39"/>
        <v>5.5</v>
      </c>
      <c r="BN9" s="1">
        <f t="shared" si="40"/>
        <v>11</v>
      </c>
      <c r="BO9" s="1">
        <f t="shared" si="41"/>
        <v>4</v>
      </c>
      <c r="BP9" s="1">
        <f t="shared" si="42"/>
        <v>1</v>
      </c>
      <c r="BQ9" s="1">
        <f t="shared" si="43"/>
        <v>4</v>
      </c>
      <c r="BR9" s="1" t="e">
        <f t="shared" si="44"/>
        <v>#VALUE!</v>
      </c>
    </row>
    <row r="10" spans="1:70" x14ac:dyDescent="0.2">
      <c r="A10" s="719">
        <f t="shared" si="1"/>
        <v>4</v>
      </c>
      <c r="B10" s="99">
        <f t="shared" si="2"/>
        <v>4</v>
      </c>
      <c r="C10" s="354">
        <f t="shared" si="3"/>
        <v>3</v>
      </c>
      <c r="D10" s="316">
        <f t="shared" si="4"/>
        <v>4</v>
      </c>
      <c r="E10" s="100">
        <f t="shared" si="5"/>
        <v>4</v>
      </c>
      <c r="F10" s="99">
        <f t="shared" si="6"/>
        <v>4</v>
      </c>
      <c r="G10" s="101" t="str">
        <f t="shared" si="7"/>
        <v/>
      </c>
      <c r="H10" s="99">
        <f t="shared" si="8"/>
        <v>-996</v>
      </c>
      <c r="I10" s="102" t="str">
        <f t="shared" si="9"/>
        <v/>
      </c>
      <c r="J10" s="103">
        <f t="shared" si="10"/>
        <v>-996</v>
      </c>
      <c r="K10" s="70">
        <f t="shared" si="11"/>
        <v>4</v>
      </c>
      <c r="L10" s="121" t="s">
        <v>105</v>
      </c>
      <c r="M10" s="105"/>
      <c r="N10" s="106" t="str">
        <f>IF(M10="","m","")</f>
        <v>m</v>
      </c>
      <c r="O10" s="107"/>
      <c r="P10" s="108" t="s">
        <v>233</v>
      </c>
      <c r="Q10" s="109" t="s">
        <v>86</v>
      </c>
      <c r="R10" s="110">
        <f>(IF(COUNT(Z10,AA10,AB10,AC10,AD10,AE10,AF10,AG10,AH10,AI10)&lt;10,SUM(Z10,AA10,AB10,AC10,AD10,AE10,AF10,AG10,AH10,AI10),SUM(LARGE((Z10,AA10,AB10,AC10,AD10,AE10,AF10,AG10,AH10,AI10),{1;2;3;4;5;6;7;8;9}))))</f>
        <v>143</v>
      </c>
      <c r="S10" s="111" t="str">
        <f>INDEX(ETAPP!B$1:B$32,MATCH(COUNTIF(BI10:BR10,1),ETAPP!A$1:A$32,0))&amp;INDEX(ETAPP!B$1:B$32,MATCH(COUNTIF(BI10:BR10,2),ETAPP!A$1:A$32,0))&amp;INDEX(ETAPP!B$1:B$32,MATCH(COUNTIF(BI10:BR10,3),ETAPP!A$1:A$32,0))&amp;INDEX(ETAPP!B$1:B$32,MATCH(COUNTIF(BI10:BR10,4),ETAPP!A$1:A$32,0))&amp;INDEX(ETAPP!B$1:B$32,MATCH(COUNTIF(BI10:BR10,5),ETAPP!A$1:A$32,0))&amp;INDEX(ETAPP!B$1:B$32,MATCH(COUNTIF(BI10:BR10,6),ETAPP!A$1:A$32,0))&amp;INDEX(ETAPP!B$1:B$32,MATCH(COUNTIF(BI10:BR10,7),ETAPP!A$1:A$32,0))&amp;INDEX(ETAPP!B$1:B$32,MATCH(COUNTIF(BI10:BR10,8),ETAPP!A$1:A$32,0))&amp;INDEX(ETAPP!B$1:B$32,MATCH(COUNTIF(BI10:BR10,9),ETAPP!A$1:A$32,0))&amp;INDEX(ETAPP!B$1:B$32,MATCH(COUNTIF(BI10:BR10,10),ETAPP!A$1:A$32,0))&amp;INDEX(ETAPP!B$1:B$32,MATCH(COUNTIF(BI10:BR10,11),ETAPP!A$1:A$32,0))&amp;INDEX(ETAPP!B$1:B$32,MATCH(COUNTIF(BI10:BR10,12),ETAPP!A$1:A$32,0))&amp;INDEX(ETAPP!B$1:B$32,MATCH(COUNTIF(BI10:BR10,13),ETAPP!A$1:A$32,0))&amp;INDEX(ETAPP!B$1:B$32,MATCH(COUNTIF(BI10:BR10,14),ETAPP!A$1:A$32,0))&amp;INDEX(ETAPP!B$1:B$32,MATCH(COUNTIF(BI10:BR10,15),ETAPP!A$1:A$32,0))&amp;INDEX(ETAPP!B$1:B$32,MATCH(COUNTIF(BI10:BR10,16),ETAPP!A$1:A$32,0))&amp;INDEX(ETAPP!B$1:B$32,MATCH(COUNTIF(BI10:BR10,17),ETAPP!A$1:A$32,0))&amp;INDEX(ETAPP!B$1:B$32,MATCH(COUNTIF(BI10:BR10,18),ETAPP!A$1:A$32,0))&amp;INDEX(ETAPP!B$1:B$32,MATCH(COUNTIF(BI10:BR10,19),ETAPP!A$1:A$32,0))&amp;INDEX(ETAPP!B$1:B$32,MATCH(COUNTIF(BI10:BR10,20),ETAPP!A$1:A$32,0))&amp;INDEX(ETAPP!B$1:B$32,MATCH(COUNTIF(BI10:BR10,21),ETAPP!A$1:A$32,0))</f>
        <v>B00BA0A00000A00000000</v>
      </c>
      <c r="T10" s="111" t="str">
        <f t="shared" si="12"/>
        <v>143,0-B00BA0A00000A00000000</v>
      </c>
      <c r="U10" s="111">
        <f t="shared" si="13"/>
        <v>4</v>
      </c>
      <c r="V10" s="111">
        <f t="shared" si="14"/>
        <v>29</v>
      </c>
      <c r="W10" s="111" t="str">
        <f t="shared" si="15"/>
        <v>143,0-B00BA0A00000A00000000-029</v>
      </c>
      <c r="X10" s="111">
        <f t="shared" si="16"/>
        <v>4</v>
      </c>
      <c r="Y10" s="112">
        <f t="shared" si="17"/>
        <v>42</v>
      </c>
      <c r="Z10" s="113">
        <f>IFERROR(INDEX('V1'!C$300:C$400,MATCH("*"&amp;L10&amp;"*",'V1'!B$300:B$400,0)),"  ")</f>
        <v>16</v>
      </c>
      <c r="AA10" s="113">
        <f>IFERROR(INDEX('V2'!C$300:C$389,MATCH("*"&amp;L10&amp;"*",'V2'!B$300:B$389,0)),"  ")</f>
        <v>18</v>
      </c>
      <c r="AB10" s="113">
        <f>IFERROR(INDEX('V3'!C$300:C$399,MATCH("*"&amp;L10&amp;"*",'V3'!B$300:B$399,0)),"  ")</f>
        <v>24</v>
      </c>
      <c r="AC10" s="113">
        <f>IFERROR(INDEX('V4'!C$300:C$400,MATCH("*"&amp;L10&amp;"*",'V4'!B$300:B$400,0)),"  ")</f>
        <v>15</v>
      </c>
      <c r="AD10" s="113">
        <f>IFERROR(INDEX('V5'!C$300:C$400,MATCH("*"&amp;L10&amp;"*",'V5'!B$300:B$400,0)),"  ")</f>
        <v>14</v>
      </c>
      <c r="AE10" s="113">
        <f>IFERROR(INDEX('V6'!C$300:C$400,MATCH("*"&amp;L10&amp;"*",'V6'!B$300:B$400,0)),"  ")</f>
        <v>18</v>
      </c>
      <c r="AF10" s="113">
        <f>IFERROR(INDEX('V7'!C$300:C$400,MATCH("*"&amp;L10&amp;"*",'V7'!B$300:B$400,0)),"  ")</f>
        <v>9</v>
      </c>
      <c r="AG10" s="113">
        <f>IFERROR(INDEX('V8'!C$300:C$400,MATCH("*"&amp;L10&amp;"*",'V8'!B$300:B$400,0)),"  ")</f>
        <v>3</v>
      </c>
      <c r="AH10" s="113">
        <f>IFERROR(INDEX('V9'!C$300:C$400,MATCH("*"&amp;L10&amp;"*",'V9'!B$300:B$400,0)),"  ")</f>
        <v>14</v>
      </c>
      <c r="AI10" s="113">
        <f>IFERROR(INDEX('V10'!C$300:C$400,MATCH("*"&amp;L10&amp;"*",'V10'!B$300:B$400,0)),"  ")</f>
        <v>15</v>
      </c>
      <c r="AJ10" s="114">
        <f t="shared" si="18"/>
        <v>4</v>
      </c>
      <c r="AK10" s="346">
        <f t="shared" si="19"/>
        <v>146</v>
      </c>
      <c r="AL10" s="115" t="str">
        <f t="shared" si="20"/>
        <v>edasi 4</v>
      </c>
      <c r="AM10" s="116" t="str">
        <f>IFERROR(INDEX(#REF!,MATCH("*"&amp;L10&amp;"*",#REF!,0)),"  ")</f>
        <v xml:space="preserve">  </v>
      </c>
      <c r="AN10" s="117">
        <f t="shared" si="21"/>
        <v>10</v>
      </c>
      <c r="AO10" s="118">
        <f t="shared" si="22"/>
        <v>5</v>
      </c>
      <c r="AP10" s="118">
        <f t="shared" si="23"/>
        <v>2</v>
      </c>
      <c r="AQ10" s="122"/>
      <c r="AR10" s="122"/>
      <c r="AS10" s="122"/>
      <c r="AT10" s="119">
        <f t="shared" si="24"/>
        <v>3.0007999999999999</v>
      </c>
      <c r="AU10" s="120">
        <f t="shared" si="25"/>
        <v>16.0001</v>
      </c>
      <c r="AV10" s="120">
        <f t="shared" si="26"/>
        <v>18.0002</v>
      </c>
      <c r="AW10" s="120">
        <f t="shared" si="27"/>
        <v>24.000299999999999</v>
      </c>
      <c r="AX10" s="120">
        <f t="shared" si="28"/>
        <v>15.000400000000001</v>
      </c>
      <c r="AY10" s="120">
        <f t="shared" si="29"/>
        <v>14.000500000000001</v>
      </c>
      <c r="AZ10" s="120">
        <f t="shared" si="30"/>
        <v>18.000599999999999</v>
      </c>
      <c r="BA10" s="120">
        <f t="shared" si="31"/>
        <v>9.0007000000000001</v>
      </c>
      <c r="BB10" s="120">
        <f t="shared" si="32"/>
        <v>3.0007999999999999</v>
      </c>
      <c r="BC10" s="120">
        <f t="shared" si="33"/>
        <v>14.0009</v>
      </c>
      <c r="BD10" s="120">
        <f t="shared" si="34"/>
        <v>15.000999999999999</v>
      </c>
      <c r="BE10" s="122"/>
      <c r="BI10" s="1">
        <f t="shared" si="35"/>
        <v>1</v>
      </c>
      <c r="BJ10" s="1">
        <f t="shared" si="36"/>
        <v>2.5</v>
      </c>
      <c r="BK10" s="1">
        <f t="shared" si="37"/>
        <v>1</v>
      </c>
      <c r="BL10" s="1">
        <f t="shared" si="38"/>
        <v>4</v>
      </c>
      <c r="BM10" s="1">
        <f t="shared" si="39"/>
        <v>4.5</v>
      </c>
      <c r="BN10" s="1">
        <f t="shared" si="40"/>
        <v>5</v>
      </c>
      <c r="BO10" s="1">
        <f t="shared" si="41"/>
        <v>5.5</v>
      </c>
      <c r="BP10" s="1">
        <f t="shared" si="42"/>
        <v>13</v>
      </c>
      <c r="BQ10" s="1">
        <f t="shared" si="43"/>
        <v>7</v>
      </c>
      <c r="BR10" s="1">
        <f t="shared" si="44"/>
        <v>4</v>
      </c>
    </row>
    <row r="11" spans="1:70" x14ac:dyDescent="0.2">
      <c r="A11" s="719">
        <f t="shared" si="1"/>
        <v>5</v>
      </c>
      <c r="B11" s="99">
        <f t="shared" si="2"/>
        <v>6</v>
      </c>
      <c r="C11" s="354">
        <f t="shared" si="3"/>
        <v>4</v>
      </c>
      <c r="D11" s="316">
        <f t="shared" si="4"/>
        <v>6</v>
      </c>
      <c r="E11" s="100">
        <f t="shared" si="5"/>
        <v>5</v>
      </c>
      <c r="F11" s="99">
        <f t="shared" si="6"/>
        <v>6</v>
      </c>
      <c r="G11" s="101" t="str">
        <f t="shared" si="7"/>
        <v/>
      </c>
      <c r="H11" s="99">
        <f t="shared" si="8"/>
        <v>-994</v>
      </c>
      <c r="I11" s="102" t="str">
        <f t="shared" si="9"/>
        <v/>
      </c>
      <c r="J11" s="103">
        <f t="shared" si="10"/>
        <v>-994</v>
      </c>
      <c r="K11" s="70">
        <f t="shared" si="11"/>
        <v>5</v>
      </c>
      <c r="L11" s="121" t="s">
        <v>106</v>
      </c>
      <c r="M11" s="105"/>
      <c r="N11" s="106" t="str">
        <f>IF(M11="","m","")</f>
        <v>m</v>
      </c>
      <c r="O11" s="107"/>
      <c r="P11" s="108" t="s">
        <v>233</v>
      </c>
      <c r="Q11" s="109" t="s">
        <v>86</v>
      </c>
      <c r="R11" s="110">
        <f>(IF(COUNT(Z11,AA11,AB11,AC11,AD11,AE11,AF11,AG11,AH11,AI11)&lt;10,SUM(Z11,AA11,AB11,AC11,AD11,AE11,AF11,AG11,AH11,AI11),SUM(LARGE((Z11,AA11,AB11,AC11,AD11,AE11,AF11,AG11,AH11,AI11),{1;2;3;4;5;6;7;8;9}))))</f>
        <v>141</v>
      </c>
      <c r="S11" s="111" t="str">
        <f>INDEX(ETAPP!B$1:B$32,MATCH(COUNTIF(BI11:BR11,1),ETAPP!A$1:A$32,0))&amp;INDEX(ETAPP!B$1:B$32,MATCH(COUNTIF(BI11:BR11,2),ETAPP!A$1:A$32,0))&amp;INDEX(ETAPP!B$1:B$32,MATCH(COUNTIF(BI11:BR11,3),ETAPP!A$1:A$32,0))&amp;INDEX(ETAPP!B$1:B$32,MATCH(COUNTIF(BI11:BR11,4),ETAPP!A$1:A$32,0))&amp;INDEX(ETAPP!B$1:B$32,MATCH(COUNTIF(BI11:BR11,5),ETAPP!A$1:A$32,0))&amp;INDEX(ETAPP!B$1:B$32,MATCH(COUNTIF(BI11:BR11,6),ETAPP!A$1:A$32,0))&amp;INDEX(ETAPP!B$1:B$32,MATCH(COUNTIF(BI11:BR11,7),ETAPP!A$1:A$32,0))&amp;INDEX(ETAPP!B$1:B$32,MATCH(COUNTIF(BI11:BR11,8),ETAPP!A$1:A$32,0))&amp;INDEX(ETAPP!B$1:B$32,MATCH(COUNTIF(BI11:BR11,9),ETAPP!A$1:A$32,0))&amp;INDEX(ETAPP!B$1:B$32,MATCH(COUNTIF(BI11:BR11,10),ETAPP!A$1:A$32,0))&amp;INDEX(ETAPP!B$1:B$32,MATCH(COUNTIF(BI11:BR11,11),ETAPP!A$1:A$32,0))&amp;INDEX(ETAPP!B$1:B$32,MATCH(COUNTIF(BI11:BR11,12),ETAPP!A$1:A$32,0))&amp;INDEX(ETAPP!B$1:B$32,MATCH(COUNTIF(BI11:BR11,13),ETAPP!A$1:A$32,0))&amp;INDEX(ETAPP!B$1:B$32,MATCH(COUNTIF(BI11:BR11,14),ETAPP!A$1:A$32,0))&amp;INDEX(ETAPP!B$1:B$32,MATCH(COUNTIF(BI11:BR11,15),ETAPP!A$1:A$32,0))&amp;INDEX(ETAPP!B$1:B$32,MATCH(COUNTIF(BI11:BR11,16),ETAPP!A$1:A$32,0))&amp;INDEX(ETAPP!B$1:B$32,MATCH(COUNTIF(BI11:BR11,17),ETAPP!A$1:A$32,0))&amp;INDEX(ETAPP!B$1:B$32,MATCH(COUNTIF(BI11:BR11,18),ETAPP!A$1:A$32,0))&amp;INDEX(ETAPP!B$1:B$32,MATCH(COUNTIF(BI11:BR11,19),ETAPP!A$1:A$32,0))&amp;INDEX(ETAPP!B$1:B$32,MATCH(COUNTIF(BI11:BR11,20),ETAPP!A$1:A$32,0))&amp;INDEX(ETAPP!B$1:B$32,MATCH(COUNTIF(BI11:BR11,21),ETAPP!A$1:A$32,0))</f>
        <v>00BAAAA00000000000000</v>
      </c>
      <c r="T11" s="111" t="str">
        <f t="shared" si="12"/>
        <v>141,0-00BAAAA00000000000000</v>
      </c>
      <c r="U11" s="111">
        <f t="shared" si="13"/>
        <v>6</v>
      </c>
      <c r="V11" s="111">
        <f t="shared" si="14"/>
        <v>34</v>
      </c>
      <c r="W11" s="111" t="str">
        <f t="shared" si="15"/>
        <v>141,0-00BAAAA00000000000000-034</v>
      </c>
      <c r="X11" s="111">
        <f t="shared" si="16"/>
        <v>5</v>
      </c>
      <c r="Y11" s="112">
        <f t="shared" si="17"/>
        <v>41</v>
      </c>
      <c r="Z11" s="113">
        <f>IFERROR(INDEX('V1'!C$300:C$400,MATCH("*"&amp;L11&amp;"*",'V1'!B$300:B$400,0)),"  ")</f>
        <v>8</v>
      </c>
      <c r="AA11" s="113">
        <f>IFERROR(INDEX('V2'!C$300:C$389,MATCH("*"&amp;L11&amp;"*",'V2'!B$300:B$389,0)),"  ")</f>
        <v>15</v>
      </c>
      <c r="AB11" s="113">
        <f>IFERROR(INDEX('V3'!C$300:C$399,MATCH("*"&amp;L11&amp;"*",'V3'!B$300:B$399,0)),"  ")</f>
        <v>20</v>
      </c>
      <c r="AC11" s="113">
        <f>IFERROR(INDEX('V4'!C$300:C$400,MATCH("*"&amp;L11&amp;"*",'V4'!B$300:B$400,0)),"  ")</f>
        <v>9</v>
      </c>
      <c r="AD11" s="113">
        <f>IFERROR(INDEX('V5'!C$300:C$400,MATCH("*"&amp;L11&amp;"*",'V5'!B$300:B$400,0)),"  ")</f>
        <v>18</v>
      </c>
      <c r="AE11" s="113">
        <f>IFERROR(INDEX('V6'!C$300:C$400,MATCH("*"&amp;L11&amp;"*",'V6'!B$300:B$400,0)),"  ")</f>
        <v>16</v>
      </c>
      <c r="AF11" s="113">
        <f>IFERROR(INDEX('V7'!C$300:C$400,MATCH("*"&amp;L11&amp;"*",'V7'!B$300:B$400,0)),"  ")</f>
        <v>15</v>
      </c>
      <c r="AG11" s="113">
        <f>IFERROR(INDEX('V8'!C$300:C$400,MATCH("*"&amp;L11&amp;"*",'V8'!B$300:B$400,0)),"  ")</f>
        <v>18</v>
      </c>
      <c r="AH11" s="113">
        <f>IFERROR(INDEX('V9'!C$300:C$400,MATCH("*"&amp;L11&amp;"*",'V9'!B$300:B$400,0)),"  ")</f>
        <v>22</v>
      </c>
      <c r="AI11" s="113">
        <f>IFERROR(INDEX('V10'!C$300:C$400,MATCH("*"&amp;L11&amp;"*",'V10'!B$300:B$400,0)),"  ")</f>
        <v>6</v>
      </c>
      <c r="AJ11" s="114">
        <f t="shared" si="18"/>
        <v>5</v>
      </c>
      <c r="AK11" s="346">
        <f t="shared" si="19"/>
        <v>147</v>
      </c>
      <c r="AL11" s="115" t="str">
        <f t="shared" si="20"/>
        <v>edasi 5</v>
      </c>
      <c r="AM11" s="116" t="str">
        <f>IFERROR(INDEX(#REF!,MATCH("*"&amp;L11&amp;"*",#REF!,0)),"  ")</f>
        <v xml:space="preserve">  </v>
      </c>
      <c r="AN11" s="117">
        <f t="shared" si="21"/>
        <v>10</v>
      </c>
      <c r="AO11" s="118">
        <f t="shared" si="22"/>
        <v>5</v>
      </c>
      <c r="AP11" s="118">
        <f t="shared" si="23"/>
        <v>0</v>
      </c>
      <c r="AQ11" s="122"/>
      <c r="AR11" s="122"/>
      <c r="AS11" s="122"/>
      <c r="AT11" s="119">
        <f t="shared" si="24"/>
        <v>6.0010000000000003</v>
      </c>
      <c r="AU11" s="120">
        <f t="shared" si="25"/>
        <v>8.0000999999999998</v>
      </c>
      <c r="AV11" s="120">
        <f t="shared" si="26"/>
        <v>15.0002</v>
      </c>
      <c r="AW11" s="120">
        <f t="shared" si="27"/>
        <v>20.000299999999999</v>
      </c>
      <c r="AX11" s="120">
        <f t="shared" si="28"/>
        <v>9.0004000000000008</v>
      </c>
      <c r="AY11" s="120">
        <f t="shared" si="29"/>
        <v>18.000499999999999</v>
      </c>
      <c r="AZ11" s="120">
        <f t="shared" si="30"/>
        <v>16.000599999999999</v>
      </c>
      <c r="BA11" s="120">
        <f t="shared" si="31"/>
        <v>15.0007</v>
      </c>
      <c r="BB11" s="120">
        <f t="shared" si="32"/>
        <v>18.000800000000002</v>
      </c>
      <c r="BC11" s="120">
        <f t="shared" si="33"/>
        <v>22.000900000000001</v>
      </c>
      <c r="BD11" s="120">
        <f t="shared" si="34"/>
        <v>6.0010000000000003</v>
      </c>
      <c r="BE11" s="122"/>
      <c r="BI11" s="1">
        <f t="shared" si="35"/>
        <v>5</v>
      </c>
      <c r="BJ11" s="1">
        <f t="shared" si="36"/>
        <v>4</v>
      </c>
      <c r="BK11" s="1">
        <f t="shared" si="37"/>
        <v>3</v>
      </c>
      <c r="BL11" s="1">
        <f t="shared" si="38"/>
        <v>7</v>
      </c>
      <c r="BM11" s="1">
        <f t="shared" si="39"/>
        <v>2.5</v>
      </c>
      <c r="BN11" s="1">
        <f t="shared" si="40"/>
        <v>6</v>
      </c>
      <c r="BO11" s="1">
        <f t="shared" si="41"/>
        <v>2.5</v>
      </c>
      <c r="BP11" s="1">
        <f t="shared" si="42"/>
        <v>5.5</v>
      </c>
      <c r="BQ11" s="1">
        <f t="shared" si="43"/>
        <v>3</v>
      </c>
      <c r="BR11" s="1">
        <f t="shared" si="44"/>
        <v>8.5</v>
      </c>
    </row>
    <row r="12" spans="1:70" x14ac:dyDescent="0.2">
      <c r="A12" s="719">
        <f t="shared" si="1"/>
        <v>5</v>
      </c>
      <c r="B12" s="99">
        <f t="shared" si="2"/>
        <v>6</v>
      </c>
      <c r="C12" s="354">
        <f t="shared" si="3"/>
        <v>4</v>
      </c>
      <c r="D12" s="316">
        <f t="shared" si="4"/>
        <v>6</v>
      </c>
      <c r="E12" s="100">
        <f t="shared" si="5"/>
        <v>5</v>
      </c>
      <c r="F12" s="99">
        <f t="shared" si="6"/>
        <v>6</v>
      </c>
      <c r="G12" s="101" t="str">
        <f t="shared" si="7"/>
        <v/>
      </c>
      <c r="H12" s="99">
        <f t="shared" si="8"/>
        <v>-994</v>
      </c>
      <c r="I12" s="102" t="str">
        <f t="shared" si="9"/>
        <v/>
      </c>
      <c r="J12" s="103">
        <f t="shared" si="10"/>
        <v>-994</v>
      </c>
      <c r="K12" s="70">
        <f t="shared" si="11"/>
        <v>5</v>
      </c>
      <c r="L12" s="121" t="s">
        <v>63</v>
      </c>
      <c r="M12" s="105"/>
      <c r="N12" s="106" t="str">
        <f>IF(M12="","m","")</f>
        <v>m</v>
      </c>
      <c r="O12" s="107"/>
      <c r="P12" s="108" t="s">
        <v>233</v>
      </c>
      <c r="Q12" s="109" t="s">
        <v>86</v>
      </c>
      <c r="R12" s="110">
        <f>(IF(COUNT(Z12,AA12,AB12,AC12,AD12,AE12,AF12,AG12,AH12,AI12)&lt;10,SUM(Z12,AA12,AB12,AC12,AD12,AE12,AF12,AG12,AH12,AI12),SUM(LARGE((Z12,AA12,AB12,AC12,AD12,AE12,AF12,AG12,AH12,AI12),{1;2;3;4;5;6;7;8;9}))))</f>
        <v>141</v>
      </c>
      <c r="S12" s="111" t="str">
        <f>INDEX(ETAPP!B$1:B$32,MATCH(COUNTIF(BI12:BR12,1),ETAPP!A$1:A$32,0))&amp;INDEX(ETAPP!B$1:B$32,MATCH(COUNTIF(BI12:BR12,2),ETAPP!A$1:A$32,0))&amp;INDEX(ETAPP!B$1:B$32,MATCH(COUNTIF(BI12:BR12,3),ETAPP!A$1:A$32,0))&amp;INDEX(ETAPP!B$1:B$32,MATCH(COUNTIF(BI12:BR12,4),ETAPP!A$1:A$32,0))&amp;INDEX(ETAPP!B$1:B$32,MATCH(COUNTIF(BI12:BR12,5),ETAPP!A$1:A$32,0))&amp;INDEX(ETAPP!B$1:B$32,MATCH(COUNTIF(BI12:BR12,6),ETAPP!A$1:A$32,0))&amp;INDEX(ETAPP!B$1:B$32,MATCH(COUNTIF(BI12:BR12,7),ETAPP!A$1:A$32,0))&amp;INDEX(ETAPP!B$1:B$32,MATCH(COUNTIF(BI12:BR12,8),ETAPP!A$1:A$32,0))&amp;INDEX(ETAPP!B$1:B$32,MATCH(COUNTIF(BI12:BR12,9),ETAPP!A$1:A$32,0))&amp;INDEX(ETAPP!B$1:B$32,MATCH(COUNTIF(BI12:BR12,10),ETAPP!A$1:A$32,0))&amp;INDEX(ETAPP!B$1:B$32,MATCH(COUNTIF(BI12:BR12,11),ETAPP!A$1:A$32,0))&amp;INDEX(ETAPP!B$1:B$32,MATCH(COUNTIF(BI12:BR12,12),ETAPP!A$1:A$32,0))&amp;INDEX(ETAPP!B$1:B$32,MATCH(COUNTIF(BI12:BR12,13),ETAPP!A$1:A$32,0))&amp;INDEX(ETAPP!B$1:B$32,MATCH(COUNTIF(BI12:BR12,14),ETAPP!A$1:A$32,0))&amp;INDEX(ETAPP!B$1:B$32,MATCH(COUNTIF(BI12:BR12,15),ETAPP!A$1:A$32,0))&amp;INDEX(ETAPP!B$1:B$32,MATCH(COUNTIF(BI12:BR12,16),ETAPP!A$1:A$32,0))&amp;INDEX(ETAPP!B$1:B$32,MATCH(COUNTIF(BI12:BR12,17),ETAPP!A$1:A$32,0))&amp;INDEX(ETAPP!B$1:B$32,MATCH(COUNTIF(BI12:BR12,18),ETAPP!A$1:A$32,0))&amp;INDEX(ETAPP!B$1:B$32,MATCH(COUNTIF(BI12:BR12,19),ETAPP!A$1:A$32,0))&amp;INDEX(ETAPP!B$1:B$32,MATCH(COUNTIF(BI12:BR12,20),ETAPP!A$1:A$32,0))&amp;INDEX(ETAPP!B$1:B$32,MATCH(COUNTIF(BI12:BR12,21),ETAPP!A$1:A$32,0))</f>
        <v>00BAAAA00000000000000</v>
      </c>
      <c r="T12" s="111" t="str">
        <f t="shared" si="12"/>
        <v>141,0-00BAAAA00000000000000</v>
      </c>
      <c r="U12" s="111">
        <f t="shared" si="13"/>
        <v>6</v>
      </c>
      <c r="V12" s="111">
        <f t="shared" si="14"/>
        <v>22</v>
      </c>
      <c r="W12" s="111" t="str">
        <f t="shared" si="15"/>
        <v>141,0-00BAAAA00000000000000-022</v>
      </c>
      <c r="X12" s="111">
        <f t="shared" si="16"/>
        <v>6</v>
      </c>
      <c r="Y12" s="112">
        <f t="shared" si="17"/>
        <v>40</v>
      </c>
      <c r="Z12" s="113">
        <f>IFERROR(INDEX('V1'!C$300:C$400,MATCH("*"&amp;L12&amp;"*",'V1'!B$300:B$400,0)),"  ")</f>
        <v>8</v>
      </c>
      <c r="AA12" s="113">
        <f>IFERROR(INDEX('V2'!C$300:C$389,MATCH("*"&amp;L12&amp;"*",'V2'!B$300:B$389,0)),"  ")</f>
        <v>15</v>
      </c>
      <c r="AB12" s="113">
        <f>IFERROR(INDEX('V3'!C$300:C$399,MATCH("*"&amp;L12&amp;"*",'V3'!B$300:B$399,0)),"  ")</f>
        <v>20</v>
      </c>
      <c r="AC12" s="113">
        <f>IFERROR(INDEX('V4'!C$300:C$400,MATCH("*"&amp;L12&amp;"*",'V4'!B$300:B$400,0)),"  ")</f>
        <v>9</v>
      </c>
      <c r="AD12" s="113">
        <f>IFERROR(INDEX('V5'!C$300:C$400,MATCH("*"&amp;L12&amp;"*",'V5'!B$300:B$400,0)),"  ")</f>
        <v>18</v>
      </c>
      <c r="AE12" s="113">
        <f>IFERROR(INDEX('V6'!C$300:C$400,MATCH("*"&amp;L12&amp;"*",'V6'!B$300:B$400,0)),"  ")</f>
        <v>16</v>
      </c>
      <c r="AF12" s="113">
        <f>IFERROR(INDEX('V7'!C$300:C$400,MATCH("*"&amp;L12&amp;"*",'V7'!B$300:B$400,0)),"  ")</f>
        <v>15</v>
      </c>
      <c r="AG12" s="113">
        <f>IFERROR(INDEX('V8'!C$300:C$400,MATCH("*"&amp;L12&amp;"*",'V8'!B$300:B$400,0)),"  ")</f>
        <v>18</v>
      </c>
      <c r="AH12" s="113">
        <f>IFERROR(INDEX('V9'!C$300:C$400,MATCH("*"&amp;L12&amp;"*",'V9'!B$300:B$400,0)),"  ")</f>
        <v>22</v>
      </c>
      <c r="AI12" s="113">
        <f>IFERROR(INDEX('V10'!C$300:C$400,MATCH("*"&amp;L12&amp;"*",'V10'!B$300:B$400,0)),"  ")</f>
        <v>6</v>
      </c>
      <c r="AJ12" s="114">
        <f t="shared" si="18"/>
        <v>5</v>
      </c>
      <c r="AK12" s="346">
        <f t="shared" si="19"/>
        <v>147</v>
      </c>
      <c r="AL12" s="115" t="str">
        <f t="shared" si="20"/>
        <v>edasi 5</v>
      </c>
      <c r="AM12" s="116" t="str">
        <f>IFERROR(INDEX(#REF!,MATCH("*"&amp;L12&amp;"*",#REF!,0)),"  ")</f>
        <v xml:space="preserve">  </v>
      </c>
      <c r="AN12" s="117">
        <f t="shared" si="21"/>
        <v>10</v>
      </c>
      <c r="AO12" s="118">
        <f t="shared" si="22"/>
        <v>5</v>
      </c>
      <c r="AP12" s="118">
        <f t="shared" si="23"/>
        <v>0</v>
      </c>
      <c r="AQ12" s="122"/>
      <c r="AR12" s="122"/>
      <c r="AS12" s="122"/>
      <c r="AT12" s="119">
        <f t="shared" si="24"/>
        <v>6.0010000000000003</v>
      </c>
      <c r="AU12" s="120">
        <f t="shared" si="25"/>
        <v>8.0000999999999998</v>
      </c>
      <c r="AV12" s="120">
        <f t="shared" si="26"/>
        <v>15.0002</v>
      </c>
      <c r="AW12" s="120">
        <f t="shared" si="27"/>
        <v>20.000299999999999</v>
      </c>
      <c r="AX12" s="120">
        <f t="shared" si="28"/>
        <v>9.0004000000000008</v>
      </c>
      <c r="AY12" s="120">
        <f t="shared" si="29"/>
        <v>18.000499999999999</v>
      </c>
      <c r="AZ12" s="120">
        <f t="shared" si="30"/>
        <v>16.000599999999999</v>
      </c>
      <c r="BA12" s="120">
        <f t="shared" si="31"/>
        <v>15.0007</v>
      </c>
      <c r="BB12" s="120">
        <f t="shared" si="32"/>
        <v>18.000800000000002</v>
      </c>
      <c r="BC12" s="120">
        <f t="shared" si="33"/>
        <v>22.000900000000001</v>
      </c>
      <c r="BD12" s="120">
        <f t="shared" si="34"/>
        <v>6.0010000000000003</v>
      </c>
      <c r="BE12" s="122"/>
      <c r="BI12" s="1">
        <f t="shared" si="35"/>
        <v>5</v>
      </c>
      <c r="BJ12" s="1">
        <f t="shared" si="36"/>
        <v>4</v>
      </c>
      <c r="BK12" s="1">
        <f t="shared" si="37"/>
        <v>3</v>
      </c>
      <c r="BL12" s="1">
        <f t="shared" si="38"/>
        <v>7</v>
      </c>
      <c r="BM12" s="1">
        <f t="shared" si="39"/>
        <v>2.5</v>
      </c>
      <c r="BN12" s="1">
        <f t="shared" si="40"/>
        <v>6</v>
      </c>
      <c r="BO12" s="1">
        <f t="shared" si="41"/>
        <v>2.5</v>
      </c>
      <c r="BP12" s="1">
        <f t="shared" si="42"/>
        <v>5.5</v>
      </c>
      <c r="BQ12" s="1">
        <f t="shared" si="43"/>
        <v>3</v>
      </c>
      <c r="BR12" s="1">
        <f t="shared" si="44"/>
        <v>8.5</v>
      </c>
    </row>
    <row r="13" spans="1:70" x14ac:dyDescent="0.2">
      <c r="A13" s="719">
        <f t="shared" si="1"/>
        <v>7</v>
      </c>
      <c r="B13" s="99">
        <f t="shared" si="2"/>
        <v>7</v>
      </c>
      <c r="C13" s="354">
        <f t="shared" si="3"/>
        <v>6</v>
      </c>
      <c r="D13" s="316">
        <f t="shared" si="4"/>
        <v>7</v>
      </c>
      <c r="E13" s="100">
        <f t="shared" si="5"/>
        <v>7</v>
      </c>
      <c r="F13" s="99">
        <f t="shared" si="6"/>
        <v>7</v>
      </c>
      <c r="G13" s="101" t="str">
        <f t="shared" si="7"/>
        <v/>
      </c>
      <c r="H13" s="99">
        <f t="shared" si="8"/>
        <v>-993</v>
      </c>
      <c r="I13" s="102" t="str">
        <f t="shared" si="9"/>
        <v/>
      </c>
      <c r="J13" s="103">
        <f t="shared" si="10"/>
        <v>-993</v>
      </c>
      <c r="K13" s="70">
        <f t="shared" si="11"/>
        <v>7</v>
      </c>
      <c r="L13" s="121" t="s">
        <v>122</v>
      </c>
      <c r="M13" s="105"/>
      <c r="N13" s="106" t="s">
        <v>101</v>
      </c>
      <c r="O13" s="107"/>
      <c r="P13" s="108" t="s">
        <v>233</v>
      </c>
      <c r="Q13" s="109" t="s">
        <v>86</v>
      </c>
      <c r="R13" s="110">
        <f>(IF(COUNT(Z13,AA13,AB13,AC13,AD13,AE13,AF13,AG13,AH13,AI13)&lt;10,SUM(Z13,AA13,AB13,AC13,AD13,AE13,AF13,AG13,AH13,AI13),SUM(LARGE((Z13,AA13,AB13,AC13,AD13,AE13,AF13,AG13,AH13,AI13),{1;2;3;4;5;6;7;8;9}))))</f>
        <v>134</v>
      </c>
      <c r="S13" s="111" t="str">
        <f>INDEX(ETAPP!B$1:B$32,MATCH(COUNTIF(BI13:BR13,1),ETAPP!A$1:A$32,0))&amp;INDEX(ETAPP!B$1:B$32,MATCH(COUNTIF(BI13:BR13,2),ETAPP!A$1:A$32,0))&amp;INDEX(ETAPP!B$1:B$32,MATCH(COUNTIF(BI13:BR13,3),ETAPP!A$1:A$32,0))&amp;INDEX(ETAPP!B$1:B$32,MATCH(COUNTIF(BI13:BR13,4),ETAPP!A$1:A$32,0))&amp;INDEX(ETAPP!B$1:B$32,MATCH(COUNTIF(BI13:BR13,5),ETAPP!A$1:A$32,0))&amp;INDEX(ETAPP!B$1:B$32,MATCH(COUNTIF(BI13:BR13,6),ETAPP!A$1:A$32,0))&amp;INDEX(ETAPP!B$1:B$32,MATCH(COUNTIF(BI13:BR13,7),ETAPP!A$1:A$32,0))&amp;INDEX(ETAPP!B$1:B$32,MATCH(COUNTIF(BI13:BR13,8),ETAPP!A$1:A$32,0))&amp;INDEX(ETAPP!B$1:B$32,MATCH(COUNTIF(BI13:BR13,9),ETAPP!A$1:A$32,0))&amp;INDEX(ETAPP!B$1:B$32,MATCH(COUNTIF(BI13:BR13,10),ETAPP!A$1:A$32,0))&amp;INDEX(ETAPP!B$1:B$32,MATCH(COUNTIF(BI13:BR13,11),ETAPP!A$1:A$32,0))&amp;INDEX(ETAPP!B$1:B$32,MATCH(COUNTIF(BI13:BR13,12),ETAPP!A$1:A$32,0))&amp;INDEX(ETAPP!B$1:B$32,MATCH(COUNTIF(BI13:BR13,13),ETAPP!A$1:A$32,0))&amp;INDEX(ETAPP!B$1:B$32,MATCH(COUNTIF(BI13:BR13,14),ETAPP!A$1:A$32,0))&amp;INDEX(ETAPP!B$1:B$32,MATCH(COUNTIF(BI13:BR13,15),ETAPP!A$1:A$32,0))&amp;INDEX(ETAPP!B$1:B$32,MATCH(COUNTIF(BI13:BR13,16),ETAPP!A$1:A$32,0))&amp;INDEX(ETAPP!B$1:B$32,MATCH(COUNTIF(BI13:BR13,17),ETAPP!A$1:A$32,0))&amp;INDEX(ETAPP!B$1:B$32,MATCH(COUNTIF(BI13:BR13,18),ETAPP!A$1:A$32,0))&amp;INDEX(ETAPP!B$1:B$32,MATCH(COUNTIF(BI13:BR13,19),ETAPP!A$1:A$32,0))&amp;INDEX(ETAPP!B$1:B$32,MATCH(COUNTIF(BI13:BR13,20),ETAPP!A$1:A$32,0))&amp;INDEX(ETAPP!B$1:B$32,MATCH(COUNTIF(BI13:BR13,21),ETAPP!A$1:A$32,0))</f>
        <v>AB0BA0A00A00000000000</v>
      </c>
      <c r="T13" s="111" t="str">
        <f t="shared" si="12"/>
        <v>134,0-AB0BA0A00A00000000000</v>
      </c>
      <c r="U13" s="111">
        <f t="shared" si="13"/>
        <v>7</v>
      </c>
      <c r="V13" s="111">
        <f t="shared" si="14"/>
        <v>2</v>
      </c>
      <c r="W13" s="111" t="str">
        <f t="shared" si="15"/>
        <v>134,0-AB0BA0A00A00000000000-002</v>
      </c>
      <c r="X13" s="111">
        <f t="shared" si="16"/>
        <v>7</v>
      </c>
      <c r="Y13" s="112">
        <f t="shared" si="17"/>
        <v>39</v>
      </c>
      <c r="Z13" s="113">
        <f>IFERROR(INDEX('V1'!C$300:C$400,MATCH("*"&amp;L13&amp;"*",'V1'!B$300:B$400,0)),"  ")</f>
        <v>16</v>
      </c>
      <c r="AA13" s="113">
        <f>IFERROR(INDEX('V2'!C$300:C$389,MATCH("*"&amp;L13&amp;"*",'V2'!B$300:B$389,0)),"  ")</f>
        <v>15</v>
      </c>
      <c r="AB13" s="113">
        <f>IFERROR(INDEX('V3'!C$300:C$399,MATCH("*"&amp;L13&amp;"*",'V3'!B$300:B$399,0)),"  ")</f>
        <v>22</v>
      </c>
      <c r="AC13" s="113">
        <f>IFERROR(INDEX('V4'!C$300:C$400,MATCH("*"&amp;L13&amp;"*",'V4'!B$300:B$400,0)),"  ")</f>
        <v>9</v>
      </c>
      <c r="AD13" s="113">
        <f>IFERROR(INDEX('V5'!C$300:C$400,MATCH("*"&amp;L13&amp;"*",'V5'!B$300:B$400,0)),"  ")</f>
        <v>6</v>
      </c>
      <c r="AE13" s="113">
        <f>IFERROR(INDEX('V6'!C$300:C$400,MATCH("*"&amp;L13&amp;"*",'V6'!B$300:B$400,0)),"  ")</f>
        <v>18</v>
      </c>
      <c r="AF13" s="113">
        <f>IFERROR(INDEX('V7'!C$300:C$400,MATCH("*"&amp;L13&amp;"*",'V7'!B$300:B$400,0)),"  ")</f>
        <v>3</v>
      </c>
      <c r="AG13" s="113">
        <f>IFERROR(INDEX('V8'!C$300:C$400,MATCH("*"&amp;L13&amp;"*",'V8'!B$300:B$400,0)),"  ")</f>
        <v>21</v>
      </c>
      <c r="AH13" s="113">
        <f>IFERROR(INDEX('V9'!C$300:C$400,MATCH("*"&amp;L13&amp;"*",'V9'!B$300:B$400,0)),"  ")</f>
        <v>24</v>
      </c>
      <c r="AI13" s="113">
        <f>IFERROR(INDEX('V10'!C$300:C$400,MATCH("*"&amp;L13&amp;"*",'V10'!B$300:B$400,0)),"  ")</f>
        <v>3</v>
      </c>
      <c r="AJ13" s="114">
        <f t="shared" si="18"/>
        <v>7</v>
      </c>
      <c r="AK13" s="346">
        <f t="shared" si="19"/>
        <v>137</v>
      </c>
      <c r="AL13" s="115" t="str">
        <f t="shared" si="20"/>
        <v>edasi 7</v>
      </c>
      <c r="AM13" s="116" t="str">
        <f>IFERROR(INDEX(#REF!,MATCH("*"&amp;L13&amp;"*",#REF!,0)),"  ")</f>
        <v xml:space="preserve">  </v>
      </c>
      <c r="AN13" s="117">
        <f t="shared" si="21"/>
        <v>10</v>
      </c>
      <c r="AO13" s="118">
        <f t="shared" si="22"/>
        <v>5</v>
      </c>
      <c r="AP13" s="118">
        <f t="shared" si="23"/>
        <v>1</v>
      </c>
      <c r="AQ13" s="122"/>
      <c r="AR13" s="122"/>
      <c r="AS13" s="122"/>
      <c r="AT13" s="119">
        <f t="shared" si="24"/>
        <v>3.0007000000000001</v>
      </c>
      <c r="AU13" s="120">
        <f t="shared" si="25"/>
        <v>16.0001</v>
      </c>
      <c r="AV13" s="120">
        <f t="shared" si="26"/>
        <v>15.0002</v>
      </c>
      <c r="AW13" s="120">
        <f t="shared" si="27"/>
        <v>22.000299999999999</v>
      </c>
      <c r="AX13" s="120">
        <f t="shared" si="28"/>
        <v>9.0004000000000008</v>
      </c>
      <c r="AY13" s="120">
        <f t="shared" si="29"/>
        <v>6.0004999999999997</v>
      </c>
      <c r="AZ13" s="120">
        <f t="shared" si="30"/>
        <v>18.000599999999999</v>
      </c>
      <c r="BA13" s="120">
        <f t="shared" si="31"/>
        <v>3.0007000000000001</v>
      </c>
      <c r="BB13" s="120">
        <f t="shared" si="32"/>
        <v>21.000800000000002</v>
      </c>
      <c r="BC13" s="120">
        <f t="shared" si="33"/>
        <v>24.000900000000001</v>
      </c>
      <c r="BD13" s="120">
        <f t="shared" si="34"/>
        <v>3.0009999999999999</v>
      </c>
      <c r="BE13" s="122"/>
      <c r="BI13" s="1">
        <f t="shared" si="35"/>
        <v>1</v>
      </c>
      <c r="BJ13" s="1">
        <f t="shared" si="36"/>
        <v>4</v>
      </c>
      <c r="BK13" s="1">
        <f t="shared" si="37"/>
        <v>2</v>
      </c>
      <c r="BL13" s="1">
        <f t="shared" si="38"/>
        <v>7</v>
      </c>
      <c r="BM13" s="1">
        <f t="shared" si="39"/>
        <v>8.5</v>
      </c>
      <c r="BN13" s="1">
        <f t="shared" si="40"/>
        <v>5</v>
      </c>
      <c r="BO13" s="1">
        <f t="shared" si="41"/>
        <v>8.5</v>
      </c>
      <c r="BP13" s="1">
        <f t="shared" si="42"/>
        <v>4</v>
      </c>
      <c r="BQ13" s="1">
        <f t="shared" si="43"/>
        <v>2</v>
      </c>
      <c r="BR13" s="1">
        <f t="shared" si="44"/>
        <v>10</v>
      </c>
    </row>
    <row r="14" spans="1:70" x14ac:dyDescent="0.2">
      <c r="A14" s="719" t="str">
        <f t="shared" si="1"/>
        <v/>
      </c>
      <c r="B14" s="99">
        <f t="shared" si="2"/>
        <v>-992</v>
      </c>
      <c r="C14" s="354" t="str">
        <f t="shared" si="3"/>
        <v/>
      </c>
      <c r="D14" s="316">
        <f t="shared" si="4"/>
        <v>-992</v>
      </c>
      <c r="E14" s="100">
        <f t="shared" si="5"/>
        <v>8</v>
      </c>
      <c r="F14" s="99">
        <f t="shared" si="6"/>
        <v>8</v>
      </c>
      <c r="G14" s="101" t="str">
        <f t="shared" si="7"/>
        <v/>
      </c>
      <c r="H14" s="99">
        <f t="shared" si="8"/>
        <v>-992</v>
      </c>
      <c r="I14" s="102" t="str">
        <f t="shared" si="9"/>
        <v/>
      </c>
      <c r="J14" s="103">
        <f t="shared" si="10"/>
        <v>-992</v>
      </c>
      <c r="K14" s="70">
        <f t="shared" si="11"/>
        <v>8</v>
      </c>
      <c r="L14" s="121" t="s">
        <v>226</v>
      </c>
      <c r="M14" s="105"/>
      <c r="N14" s="106" t="s">
        <v>101</v>
      </c>
      <c r="O14" s="107"/>
      <c r="P14" s="108"/>
      <c r="Q14" s="109" t="s">
        <v>309</v>
      </c>
      <c r="R14" s="110">
        <f>(IF(COUNT(Z14,AA14,AB14,AC14,AD14,AE14,AF14,AG14,AH14,AI14)&lt;10,SUM(Z14,AA14,AB14,AC14,AD14,AE14,AF14,AG14,AH14,AI14),SUM(LARGE((Z14,AA14,AB14,AC14,AD14,AE14,AF14,AG14,AH14,AI14),{1;2;3;4;5;6;7;8;9}))))</f>
        <v>132</v>
      </c>
      <c r="S14" s="111" t="str">
        <f>INDEX(ETAPP!B$1:B$32,MATCH(COUNTIF(BI14:BR14,1),ETAPP!A$1:A$32,0))&amp;INDEX(ETAPP!B$1:B$32,MATCH(COUNTIF(BI14:BR14,2),ETAPP!A$1:A$32,0))&amp;INDEX(ETAPP!B$1:B$32,MATCH(COUNTIF(BI14:BR14,3),ETAPP!A$1:A$32,0))&amp;INDEX(ETAPP!B$1:B$32,MATCH(COUNTIF(BI14:BR14,4),ETAPP!A$1:A$32,0))&amp;INDEX(ETAPP!B$1:B$32,MATCH(COUNTIF(BI14:BR14,5),ETAPP!A$1:A$32,0))&amp;INDEX(ETAPP!B$1:B$32,MATCH(COUNTIF(BI14:BR14,6),ETAPP!A$1:A$32,0))&amp;INDEX(ETAPP!B$1:B$32,MATCH(COUNTIF(BI14:BR14,7),ETAPP!A$1:A$32,0))&amp;INDEX(ETAPP!B$1:B$32,MATCH(COUNTIF(BI14:BR14,8),ETAPP!A$1:A$32,0))&amp;INDEX(ETAPP!B$1:B$32,MATCH(COUNTIF(BI14:BR14,9),ETAPP!A$1:A$32,0))&amp;INDEX(ETAPP!B$1:B$32,MATCH(COUNTIF(BI14:BR14,10),ETAPP!A$1:A$32,0))&amp;INDEX(ETAPP!B$1:B$32,MATCH(COUNTIF(BI14:BR14,11),ETAPP!A$1:A$32,0))&amp;INDEX(ETAPP!B$1:B$32,MATCH(COUNTIF(BI14:BR14,12),ETAPP!A$1:A$32,0))&amp;INDEX(ETAPP!B$1:B$32,MATCH(COUNTIF(BI14:BR14,13),ETAPP!A$1:A$32,0))&amp;INDEX(ETAPP!B$1:B$32,MATCH(COUNTIF(BI14:BR14,14),ETAPP!A$1:A$32,0))&amp;INDEX(ETAPP!B$1:B$32,MATCH(COUNTIF(BI14:BR14,15),ETAPP!A$1:A$32,0))&amp;INDEX(ETAPP!B$1:B$32,MATCH(COUNTIF(BI14:BR14,16),ETAPP!A$1:A$32,0))&amp;INDEX(ETAPP!B$1:B$32,MATCH(COUNTIF(BI14:BR14,17),ETAPP!A$1:A$32,0))&amp;INDEX(ETAPP!B$1:B$32,MATCH(COUNTIF(BI14:BR14,18),ETAPP!A$1:A$32,0))&amp;INDEX(ETAPP!B$1:B$32,MATCH(COUNTIF(BI14:BR14,19),ETAPP!A$1:A$32,0))&amp;INDEX(ETAPP!B$1:B$32,MATCH(COUNTIF(BI14:BR14,20),ETAPP!A$1:A$32,0))&amp;INDEX(ETAPP!B$1:B$32,MATCH(COUNTIF(BI14:BR14,21),ETAPP!A$1:A$32,0))</f>
        <v>AA0A0A000A00000000000</v>
      </c>
      <c r="T14" s="111" t="str">
        <f t="shared" si="12"/>
        <v>132,0-AA0A0A000A00000000000</v>
      </c>
      <c r="U14" s="111">
        <f t="shared" si="13"/>
        <v>8</v>
      </c>
      <c r="V14" s="111">
        <f t="shared" si="14"/>
        <v>14</v>
      </c>
      <c r="W14" s="111" t="str">
        <f t="shared" si="15"/>
        <v>132,0-AA0A0A000A00000000000-014</v>
      </c>
      <c r="X14" s="111">
        <f t="shared" si="16"/>
        <v>8</v>
      </c>
      <c r="Y14" s="112">
        <f t="shared" si="17"/>
        <v>38</v>
      </c>
      <c r="Z14" s="113" t="str">
        <f>IFERROR(INDEX('V1'!C$300:C$400,MATCH("*"&amp;L14&amp;"*",'V1'!B$300:B$400,0)),"  ")</f>
        <v xml:space="preserve">  </v>
      </c>
      <c r="AA14" s="113">
        <f>IFERROR(INDEX('V2'!C$300:C$389,MATCH("*"&amp;L14&amp;"*",'V2'!B$300:B$389,0)),"  ")</f>
        <v>3</v>
      </c>
      <c r="AB14" s="113" t="str">
        <f>IFERROR(INDEX('V3'!C$300:C$399,MATCH("*"&amp;L14&amp;"*",'V3'!B$300:B$399,0)),"  ")</f>
        <v xml:space="preserve">  </v>
      </c>
      <c r="AC14" s="113">
        <f>IFERROR(INDEX('V4'!C$300:C$400,MATCH("*"&amp;L14&amp;"*",'V4'!B$300:B$400,0)),"  ")</f>
        <v>12</v>
      </c>
      <c r="AD14" s="113">
        <f>IFERROR(INDEX('V5'!C$300:C$400,MATCH("*"&amp;L14&amp;"*",'V5'!B$300:B$400,0)),"  ")</f>
        <v>20</v>
      </c>
      <c r="AE14" s="113">
        <f>IFERROR(INDEX('V6'!C$300:C$400,MATCH("*"&amp;L14&amp;"*",'V6'!B$300:B$400,0)),"  ")</f>
        <v>24</v>
      </c>
      <c r="AF14" s="113">
        <f>IFERROR(INDEX('V7'!C$300:C$400,MATCH("*"&amp;L14&amp;"*",'V7'!B$300:B$400,0)),"  ")</f>
        <v>18</v>
      </c>
      <c r="AG14" s="113">
        <f>IFERROR(INDEX('V8'!C$300:C$400,MATCH("*"&amp;L14&amp;"*",'V8'!B$300:B$400,0)),"  ")</f>
        <v>24</v>
      </c>
      <c r="AH14" s="113">
        <f>IFERROR(INDEX('V9'!C$300:C$400,MATCH("*"&amp;L14&amp;"*",'V9'!B$300:B$400,0)),"  ")</f>
        <v>16</v>
      </c>
      <c r="AI14" s="113">
        <f>IFERROR(INDEX('V10'!C$300:C$400,MATCH("*"&amp;L14&amp;"*",'V10'!B$300:B$400,0)),"  ")</f>
        <v>15</v>
      </c>
      <c r="AJ14" s="114">
        <f t="shared" si="18"/>
        <v>8</v>
      </c>
      <c r="AK14" s="346">
        <f t="shared" si="19"/>
        <v>132</v>
      </c>
      <c r="AL14" s="115" t="str">
        <f t="shared" si="20"/>
        <v>edasi 8</v>
      </c>
      <c r="AM14" s="116" t="str">
        <f>IFERROR(INDEX(#REF!,MATCH("*"&amp;L14&amp;"*",#REF!,0)),"  ")</f>
        <v xml:space="preserve">  </v>
      </c>
      <c r="AN14" s="117">
        <f t="shared" si="21"/>
        <v>8</v>
      </c>
      <c r="AO14" s="118">
        <f t="shared" si="22"/>
        <v>5</v>
      </c>
      <c r="AP14" s="118">
        <f t="shared" si="23"/>
        <v>2</v>
      </c>
      <c r="AQ14" s="48"/>
      <c r="AR14" s="1"/>
      <c r="AS14" s="1"/>
      <c r="AT14" s="119">
        <f t="shared" si="24"/>
        <v>1E-4</v>
      </c>
      <c r="AU14" s="120">
        <f t="shared" si="25"/>
        <v>1E-4</v>
      </c>
      <c r="AV14" s="120">
        <f t="shared" si="26"/>
        <v>3.0002</v>
      </c>
      <c r="AW14" s="120">
        <f t="shared" si="27"/>
        <v>2.9999999999999997E-4</v>
      </c>
      <c r="AX14" s="120">
        <f t="shared" si="28"/>
        <v>12.000400000000001</v>
      </c>
      <c r="AY14" s="120">
        <f t="shared" si="29"/>
        <v>20.000499999999999</v>
      </c>
      <c r="AZ14" s="120">
        <f t="shared" si="30"/>
        <v>24.000599999999999</v>
      </c>
      <c r="BA14" s="120">
        <f t="shared" si="31"/>
        <v>18.000699999999998</v>
      </c>
      <c r="BB14" s="120">
        <f t="shared" si="32"/>
        <v>24.000800000000002</v>
      </c>
      <c r="BC14" s="120">
        <f t="shared" si="33"/>
        <v>16.000900000000001</v>
      </c>
      <c r="BD14" s="120">
        <f t="shared" si="34"/>
        <v>15.000999999999999</v>
      </c>
      <c r="BI14" s="1" t="e">
        <f t="shared" si="35"/>
        <v>#VALUE!</v>
      </c>
      <c r="BJ14" s="1">
        <f t="shared" si="36"/>
        <v>10</v>
      </c>
      <c r="BK14" s="1" t="e">
        <f t="shared" si="37"/>
        <v>#VALUE!</v>
      </c>
      <c r="BL14" s="1">
        <f t="shared" si="38"/>
        <v>5.5</v>
      </c>
      <c r="BM14" s="1">
        <f t="shared" si="39"/>
        <v>1.5</v>
      </c>
      <c r="BN14" s="1">
        <f t="shared" si="40"/>
        <v>2</v>
      </c>
      <c r="BO14" s="1">
        <f t="shared" si="41"/>
        <v>1</v>
      </c>
      <c r="BP14" s="1">
        <f t="shared" si="42"/>
        <v>2.5</v>
      </c>
      <c r="BQ14" s="1">
        <f t="shared" si="43"/>
        <v>6</v>
      </c>
      <c r="BR14" s="1">
        <f t="shared" si="44"/>
        <v>4</v>
      </c>
    </row>
    <row r="15" spans="1:70" x14ac:dyDescent="0.2">
      <c r="A15" s="719">
        <f t="shared" si="1"/>
        <v>8</v>
      </c>
      <c r="B15" s="99">
        <f t="shared" si="2"/>
        <v>9</v>
      </c>
      <c r="C15" s="354" t="str">
        <f t="shared" si="3"/>
        <v/>
      </c>
      <c r="D15" s="316">
        <f t="shared" si="4"/>
        <v>-991</v>
      </c>
      <c r="E15" s="100">
        <f t="shared" si="5"/>
        <v>9</v>
      </c>
      <c r="F15" s="99">
        <f t="shared" si="6"/>
        <v>9</v>
      </c>
      <c r="G15" s="101" t="str">
        <f t="shared" si="7"/>
        <v/>
      </c>
      <c r="H15" s="99">
        <f t="shared" si="8"/>
        <v>-991</v>
      </c>
      <c r="I15" s="102" t="str">
        <f t="shared" si="9"/>
        <v/>
      </c>
      <c r="J15" s="103">
        <f t="shared" si="10"/>
        <v>-991</v>
      </c>
      <c r="K15" s="70">
        <f t="shared" si="11"/>
        <v>9</v>
      </c>
      <c r="L15" s="123" t="s">
        <v>109</v>
      </c>
      <c r="M15" s="105"/>
      <c r="N15" s="106" t="str">
        <f>IF(M15="","m","")</f>
        <v>m</v>
      </c>
      <c r="O15" s="107"/>
      <c r="P15" s="108"/>
      <c r="Q15" s="109" t="s">
        <v>86</v>
      </c>
      <c r="R15" s="110">
        <f>(IF(COUNT(Z15,AA15,AB15,AC15,AD15,AE15,AF15,AG15,AH15,AI15)&lt;10,SUM(Z15,AA15,AB15,AC15,AD15,AE15,AF15,AG15,AH15,AI15),SUM(LARGE((Z15,AA15,AB15,AC15,AD15,AE15,AF15,AG15,AH15,AI15),{1;2;3;4;5;6;7;8;9}))))</f>
        <v>117</v>
      </c>
      <c r="S15" s="111" t="str">
        <f>INDEX(ETAPP!B$1:B$32,MATCH(COUNTIF(BI15:BR15,1),ETAPP!A$1:A$32,0))&amp;INDEX(ETAPP!B$1:B$32,MATCH(COUNTIF(BI15:BR15,2),ETAPP!A$1:A$32,0))&amp;INDEX(ETAPP!B$1:B$32,MATCH(COUNTIF(BI15:BR15,3),ETAPP!A$1:A$32,0))&amp;INDEX(ETAPP!B$1:B$32,MATCH(COUNTIF(BI15:BR15,4),ETAPP!A$1:A$32,0))&amp;INDEX(ETAPP!B$1:B$32,MATCH(COUNTIF(BI15:BR15,5),ETAPP!A$1:A$32,0))&amp;INDEX(ETAPP!B$1:B$32,MATCH(COUNTIF(BI15:BR15,6),ETAPP!A$1:A$32,0))&amp;INDEX(ETAPP!B$1:B$32,MATCH(COUNTIF(BI15:BR15,7),ETAPP!A$1:A$32,0))&amp;INDEX(ETAPP!B$1:B$32,MATCH(COUNTIF(BI15:BR15,8),ETAPP!A$1:A$32,0))&amp;INDEX(ETAPP!B$1:B$32,MATCH(COUNTIF(BI15:BR15,9),ETAPP!A$1:A$32,0))&amp;INDEX(ETAPP!B$1:B$32,MATCH(COUNTIF(BI15:BR15,10),ETAPP!A$1:A$32,0))&amp;INDEX(ETAPP!B$1:B$32,MATCH(COUNTIF(BI15:BR15,11),ETAPP!A$1:A$32,0))&amp;INDEX(ETAPP!B$1:B$32,MATCH(COUNTIF(BI15:BR15,12),ETAPP!A$1:A$32,0))&amp;INDEX(ETAPP!B$1:B$32,MATCH(COUNTIF(BI15:BR15,13),ETAPP!A$1:A$32,0))&amp;INDEX(ETAPP!B$1:B$32,MATCH(COUNTIF(BI15:BR15,14),ETAPP!A$1:A$32,0))&amp;INDEX(ETAPP!B$1:B$32,MATCH(COUNTIF(BI15:BR15,15),ETAPP!A$1:A$32,0))&amp;INDEX(ETAPP!B$1:B$32,MATCH(COUNTIF(BI15:BR15,16),ETAPP!A$1:A$32,0))&amp;INDEX(ETAPP!B$1:B$32,MATCH(COUNTIF(BI15:BR15,17),ETAPP!A$1:A$32,0))&amp;INDEX(ETAPP!B$1:B$32,MATCH(COUNTIF(BI15:BR15,18),ETAPP!A$1:A$32,0))&amp;INDEX(ETAPP!B$1:B$32,MATCH(COUNTIF(BI15:BR15,19),ETAPP!A$1:A$32,0))&amp;INDEX(ETAPP!B$1:B$32,MATCH(COUNTIF(BI15:BR15,20),ETAPP!A$1:A$32,0))&amp;INDEX(ETAPP!B$1:B$32,MATCH(COUNTIF(BI15:BR15,21),ETAPP!A$1:A$32,0))</f>
        <v>C00A000B0000A00000000</v>
      </c>
      <c r="T15" s="111" t="str">
        <f t="shared" si="12"/>
        <v>117,0-C00A000B0000A00000000</v>
      </c>
      <c r="U15" s="111">
        <f t="shared" si="13"/>
        <v>9</v>
      </c>
      <c r="V15" s="111">
        <f t="shared" si="14"/>
        <v>13</v>
      </c>
      <c r="W15" s="111" t="str">
        <f t="shared" si="15"/>
        <v>117,0-C00A000B0000A00000000-013</v>
      </c>
      <c r="X15" s="111">
        <f t="shared" si="16"/>
        <v>9</v>
      </c>
      <c r="Y15" s="112">
        <f t="shared" si="17"/>
        <v>37</v>
      </c>
      <c r="Z15" s="113">
        <f>IFERROR(INDEX('V1'!C$300:C$400,MATCH("*"&amp;L15&amp;"*",'V1'!B$300:B$400,0)),"  ")</f>
        <v>10</v>
      </c>
      <c r="AA15" s="113">
        <f>IFERROR(INDEX('V2'!C$300:C$389,MATCH("*"&amp;L15&amp;"*",'V2'!B$300:B$389,0)),"  ")</f>
        <v>21</v>
      </c>
      <c r="AB15" s="113">
        <f>IFERROR(INDEX('V3'!C$300:C$399,MATCH("*"&amp;L15&amp;"*",'V3'!B$300:B$399,0)),"  ")</f>
        <v>10</v>
      </c>
      <c r="AC15" s="113">
        <f>IFERROR(INDEX('V4'!C$300:C$400,MATCH("*"&amp;L15&amp;"*",'V4'!B$300:B$400,0)),"  ")</f>
        <v>21</v>
      </c>
      <c r="AD15" s="113">
        <f>IFERROR(INDEX('V5'!C$300:C$400,MATCH("*"&amp;L15&amp;"*",'V5'!B$300:B$400,0)),"  ")</f>
        <v>8</v>
      </c>
      <c r="AE15" s="113">
        <f>IFERROR(INDEX('V6'!C$300:C$400,MATCH("*"&amp;L15&amp;"*",'V6'!B$300:B$400,0)),"  ")</f>
        <v>2</v>
      </c>
      <c r="AF15" s="113" t="str">
        <f>IFERROR(INDEX('V7'!C$300:C$400,MATCH("*"&amp;L15&amp;"*",'V7'!B$300:B$400,0)),"  ")</f>
        <v xml:space="preserve">  </v>
      </c>
      <c r="AG15" s="113">
        <f>IFERROR(INDEX('V8'!C$300:C$400,MATCH("*"&amp;L15&amp;"*",'V8'!B$300:B$400,0)),"  ")</f>
        <v>12</v>
      </c>
      <c r="AH15" s="113">
        <f>IFERROR(INDEX('V9'!C$300:C$400,MATCH("*"&amp;L15&amp;"*",'V9'!B$300:B$400,0)),"  ")</f>
        <v>12</v>
      </c>
      <c r="AI15" s="113">
        <f>IFERROR(INDEX('V10'!C$300:C$400,MATCH("*"&amp;L15&amp;"*",'V10'!B$300:B$400,0)),"  ")</f>
        <v>21</v>
      </c>
      <c r="AJ15" s="114">
        <f t="shared" si="18"/>
        <v>9</v>
      </c>
      <c r="AK15" s="346">
        <f t="shared" si="19"/>
        <v>117</v>
      </c>
      <c r="AL15" s="115" t="str">
        <f t="shared" si="20"/>
        <v>edasi 9</v>
      </c>
      <c r="AM15" s="116" t="str">
        <f>IFERROR(INDEX(#REF!,MATCH("*"&amp;L15&amp;"*",#REF!,0)),"  ")</f>
        <v xml:space="preserve">  </v>
      </c>
      <c r="AN15" s="117">
        <f t="shared" si="21"/>
        <v>9</v>
      </c>
      <c r="AO15" s="118">
        <f t="shared" si="22"/>
        <v>3</v>
      </c>
      <c r="AP15" s="118">
        <f t="shared" si="23"/>
        <v>3</v>
      </c>
      <c r="AQ15" s="122"/>
      <c r="AR15" s="122"/>
      <c r="AS15" s="122"/>
      <c r="AT15" s="119">
        <f t="shared" si="24"/>
        <v>6.9999999999999999E-4</v>
      </c>
      <c r="AU15" s="120">
        <f t="shared" si="25"/>
        <v>10.0001</v>
      </c>
      <c r="AV15" s="120">
        <f t="shared" si="26"/>
        <v>21.0002</v>
      </c>
      <c r="AW15" s="120">
        <f t="shared" si="27"/>
        <v>10.000299999999999</v>
      </c>
      <c r="AX15" s="120">
        <f t="shared" si="28"/>
        <v>21.000399999999999</v>
      </c>
      <c r="AY15" s="120">
        <f t="shared" si="29"/>
        <v>8.0005000000000006</v>
      </c>
      <c r="AZ15" s="120">
        <f t="shared" si="30"/>
        <v>2.0005999999999999</v>
      </c>
      <c r="BA15" s="120">
        <f t="shared" si="31"/>
        <v>6.9999999999999999E-4</v>
      </c>
      <c r="BB15" s="120">
        <f t="shared" si="32"/>
        <v>12.0008</v>
      </c>
      <c r="BC15" s="120">
        <f t="shared" si="33"/>
        <v>12.0009</v>
      </c>
      <c r="BD15" s="120">
        <f t="shared" si="34"/>
        <v>21.001000000000001</v>
      </c>
      <c r="BE15" s="122"/>
      <c r="BI15" s="1">
        <f t="shared" si="35"/>
        <v>4</v>
      </c>
      <c r="BJ15" s="1">
        <f t="shared" si="36"/>
        <v>1</v>
      </c>
      <c r="BK15" s="1">
        <f t="shared" si="37"/>
        <v>8</v>
      </c>
      <c r="BL15" s="1">
        <f t="shared" si="38"/>
        <v>1</v>
      </c>
      <c r="BM15" s="1">
        <f t="shared" si="39"/>
        <v>7.5</v>
      </c>
      <c r="BN15" s="1">
        <f t="shared" si="40"/>
        <v>13</v>
      </c>
      <c r="BO15" s="1" t="e">
        <f t="shared" si="41"/>
        <v>#VALUE!</v>
      </c>
      <c r="BP15" s="1">
        <f t="shared" si="42"/>
        <v>8.5</v>
      </c>
      <c r="BQ15" s="1">
        <f t="shared" si="43"/>
        <v>8</v>
      </c>
      <c r="BR15" s="1">
        <f t="shared" si="44"/>
        <v>1</v>
      </c>
    </row>
    <row r="16" spans="1:70" x14ac:dyDescent="0.2">
      <c r="A16" s="719">
        <f t="shared" si="1"/>
        <v>9</v>
      </c>
      <c r="B16" s="99">
        <f t="shared" si="2"/>
        <v>10</v>
      </c>
      <c r="C16" s="354" t="str">
        <f t="shared" si="3"/>
        <v/>
      </c>
      <c r="D16" s="316">
        <f t="shared" si="4"/>
        <v>-990</v>
      </c>
      <c r="E16" s="100" t="str">
        <f t="shared" si="5"/>
        <v/>
      </c>
      <c r="F16" s="99">
        <f t="shared" si="6"/>
        <v>-990</v>
      </c>
      <c r="G16" s="101">
        <f t="shared" si="7"/>
        <v>1</v>
      </c>
      <c r="H16" s="99">
        <f t="shared" si="8"/>
        <v>10</v>
      </c>
      <c r="I16" s="102" t="str">
        <f t="shared" si="9"/>
        <v/>
      </c>
      <c r="J16" s="103">
        <f t="shared" si="10"/>
        <v>-990</v>
      </c>
      <c r="K16" s="70">
        <f t="shared" si="11"/>
        <v>10</v>
      </c>
      <c r="L16" s="121" t="s">
        <v>124</v>
      </c>
      <c r="M16" s="105" t="s">
        <v>104</v>
      </c>
      <c r="N16" s="106"/>
      <c r="O16" s="107"/>
      <c r="P16" s="108"/>
      <c r="Q16" s="109" t="s">
        <v>86</v>
      </c>
      <c r="R16" s="110">
        <f>(IF(COUNT(Z16,AA16,AB16,AC16,AD16,AE16,AF16,AG16,AH16,AI16)&lt;10,SUM(Z16,AA16,AB16,AC16,AD16,AE16,AF16,AG16,AH16,AI16),SUM(LARGE((Z16,AA16,AB16,AC16,AD16,AE16,AF16,AG16,AH16,AI16),{1;2;3;4;5;6;7;8;9}))))</f>
        <v>115</v>
      </c>
      <c r="S16" s="111" t="str">
        <f>INDEX(ETAPP!B$1:B$32,MATCH(COUNTIF(BI16:BR16,1),ETAPP!A$1:A$32,0))&amp;INDEX(ETAPP!B$1:B$32,MATCH(COUNTIF(BI16:BR16,2),ETAPP!A$1:A$32,0))&amp;INDEX(ETAPP!B$1:B$32,MATCH(COUNTIF(BI16:BR16,3),ETAPP!A$1:A$32,0))&amp;INDEX(ETAPP!B$1:B$32,MATCH(COUNTIF(BI16:BR16,4),ETAPP!A$1:A$32,0))&amp;INDEX(ETAPP!B$1:B$32,MATCH(COUNTIF(BI16:BR16,5),ETAPP!A$1:A$32,0))&amp;INDEX(ETAPP!B$1:B$32,MATCH(COUNTIF(BI16:BR16,6),ETAPP!A$1:A$32,0))&amp;INDEX(ETAPP!B$1:B$32,MATCH(COUNTIF(BI16:BR16,7),ETAPP!A$1:A$32,0))&amp;INDEX(ETAPP!B$1:B$32,MATCH(COUNTIF(BI16:BR16,8),ETAPP!A$1:A$32,0))&amp;INDEX(ETAPP!B$1:B$32,MATCH(COUNTIF(BI16:BR16,9),ETAPP!A$1:A$32,0))&amp;INDEX(ETAPP!B$1:B$32,MATCH(COUNTIF(BI16:BR16,10),ETAPP!A$1:A$32,0))&amp;INDEX(ETAPP!B$1:B$32,MATCH(COUNTIF(BI16:BR16,11),ETAPP!A$1:A$32,0))&amp;INDEX(ETAPP!B$1:B$32,MATCH(COUNTIF(BI16:BR16,12),ETAPP!A$1:A$32,0))&amp;INDEX(ETAPP!B$1:B$32,MATCH(COUNTIF(BI16:BR16,13),ETAPP!A$1:A$32,0))&amp;INDEX(ETAPP!B$1:B$32,MATCH(COUNTIF(BI16:BR16,14),ETAPP!A$1:A$32,0))&amp;INDEX(ETAPP!B$1:B$32,MATCH(COUNTIF(BI16:BR16,15),ETAPP!A$1:A$32,0))&amp;INDEX(ETAPP!B$1:B$32,MATCH(COUNTIF(BI16:BR16,16),ETAPP!A$1:A$32,0))&amp;INDEX(ETAPP!B$1:B$32,MATCH(COUNTIF(BI16:BR16,17),ETAPP!A$1:A$32,0))&amp;INDEX(ETAPP!B$1:B$32,MATCH(COUNTIF(BI16:BR16,18),ETAPP!A$1:A$32,0))&amp;INDEX(ETAPP!B$1:B$32,MATCH(COUNTIF(BI16:BR16,19),ETAPP!A$1:A$32,0))&amp;INDEX(ETAPP!B$1:B$32,MATCH(COUNTIF(BI16:BR16,20),ETAPP!A$1:A$32,0))&amp;INDEX(ETAPP!B$1:B$32,MATCH(COUNTIF(BI16:BR16,21),ETAPP!A$1:A$32,0))</f>
        <v>C00A000B0000000000000</v>
      </c>
      <c r="T16" s="111" t="str">
        <f t="shared" si="12"/>
        <v>115,0-C00A000B0000000000000</v>
      </c>
      <c r="U16" s="111">
        <f t="shared" si="13"/>
        <v>10</v>
      </c>
      <c r="V16" s="111">
        <f t="shared" si="14"/>
        <v>15</v>
      </c>
      <c r="W16" s="111" t="str">
        <f t="shared" si="15"/>
        <v>115,0-C00A000B0000000000000-015</v>
      </c>
      <c r="X16" s="111">
        <f t="shared" si="16"/>
        <v>10</v>
      </c>
      <c r="Y16" s="112">
        <f t="shared" si="17"/>
        <v>36</v>
      </c>
      <c r="Z16" s="113">
        <f>IFERROR(INDEX('V1'!C$300:C$400,MATCH("*"&amp;L16&amp;"*",'V1'!B$300:B$400,0)),"  ")</f>
        <v>10</v>
      </c>
      <c r="AA16" s="113">
        <f>IFERROR(INDEX('V2'!C$300:C$389,MATCH("*"&amp;L16&amp;"*",'V2'!B$300:B$389,0)),"  ")</f>
        <v>21</v>
      </c>
      <c r="AB16" s="113">
        <f>IFERROR(INDEX('V3'!C$300:C$399,MATCH("*"&amp;L16&amp;"*",'V3'!B$300:B$399,0)),"  ")</f>
        <v>10</v>
      </c>
      <c r="AC16" s="113">
        <f>IFERROR(INDEX('V4'!C$300:C$400,MATCH("*"&amp;L16&amp;"*",'V4'!B$300:B$400,0)),"  ")</f>
        <v>21</v>
      </c>
      <c r="AD16" s="113">
        <f>IFERROR(INDEX('V5'!C$300:C$400,MATCH("*"&amp;L16&amp;"*",'V5'!B$300:B$400,0)),"  ")</f>
        <v>8</v>
      </c>
      <c r="AE16" s="113" t="str">
        <f>IFERROR(INDEX('V6'!C$300:C$400,MATCH("*"&amp;L16&amp;"*",'V6'!B$300:B$400,0)),"  ")</f>
        <v xml:space="preserve">  </v>
      </c>
      <c r="AF16" s="113" t="str">
        <f>IFERROR(INDEX('V7'!C$300:C$400,MATCH("*"&amp;L16&amp;"*",'V7'!B$300:B$400,0)),"  ")</f>
        <v xml:space="preserve">  </v>
      </c>
      <c r="AG16" s="113">
        <f>IFERROR(INDEX('V8'!C$300:C$400,MATCH("*"&amp;L16&amp;"*",'V8'!B$300:B$400,0)),"  ")</f>
        <v>12</v>
      </c>
      <c r="AH16" s="113">
        <f>IFERROR(INDEX('V9'!C$300:C$400,MATCH("*"&amp;L16&amp;"*",'V9'!B$300:B$400,0)),"  ")</f>
        <v>12</v>
      </c>
      <c r="AI16" s="113">
        <f>IFERROR(INDEX('V10'!C$300:C$400,MATCH("*"&amp;L16&amp;"*",'V10'!B$300:B$400,0)),"  ")</f>
        <v>21</v>
      </c>
      <c r="AJ16" s="114">
        <f t="shared" si="18"/>
        <v>10</v>
      </c>
      <c r="AK16" s="346">
        <f t="shared" si="19"/>
        <v>115</v>
      </c>
      <c r="AL16" s="115" t="str">
        <f t="shared" si="20"/>
        <v>edasi 10</v>
      </c>
      <c r="AM16" s="116" t="str">
        <f>IFERROR(INDEX(#REF!,MATCH("*"&amp;L16&amp;"*",#REF!,0)),"  ")</f>
        <v xml:space="preserve">  </v>
      </c>
      <c r="AN16" s="117">
        <f t="shared" si="21"/>
        <v>8</v>
      </c>
      <c r="AO16" s="118">
        <f t="shared" si="22"/>
        <v>3</v>
      </c>
      <c r="AP16" s="118">
        <f t="shared" si="23"/>
        <v>3</v>
      </c>
      <c r="AQ16" s="122"/>
      <c r="AR16" s="122"/>
      <c r="AS16" s="122"/>
      <c r="AT16" s="119">
        <f t="shared" si="24"/>
        <v>5.9999999999999995E-4</v>
      </c>
      <c r="AU16" s="120">
        <f t="shared" si="25"/>
        <v>10.0001</v>
      </c>
      <c r="AV16" s="120">
        <f t="shared" si="26"/>
        <v>21.0002</v>
      </c>
      <c r="AW16" s="120">
        <f t="shared" si="27"/>
        <v>10.000299999999999</v>
      </c>
      <c r="AX16" s="120">
        <f t="shared" si="28"/>
        <v>21.000399999999999</v>
      </c>
      <c r="AY16" s="120">
        <f t="shared" si="29"/>
        <v>8.0005000000000006</v>
      </c>
      <c r="AZ16" s="120">
        <f t="shared" si="30"/>
        <v>5.9999999999999995E-4</v>
      </c>
      <c r="BA16" s="120">
        <f t="shared" si="31"/>
        <v>6.9999999999999999E-4</v>
      </c>
      <c r="BB16" s="120">
        <f t="shared" si="32"/>
        <v>12.0008</v>
      </c>
      <c r="BC16" s="120">
        <f t="shared" si="33"/>
        <v>12.0009</v>
      </c>
      <c r="BD16" s="120">
        <f t="shared" si="34"/>
        <v>21.001000000000001</v>
      </c>
      <c r="BE16" s="122"/>
      <c r="BI16" s="1">
        <f t="shared" si="35"/>
        <v>4</v>
      </c>
      <c r="BJ16" s="1">
        <f t="shared" si="36"/>
        <v>1</v>
      </c>
      <c r="BK16" s="1">
        <f t="shared" si="37"/>
        <v>8</v>
      </c>
      <c r="BL16" s="1">
        <f t="shared" si="38"/>
        <v>1</v>
      </c>
      <c r="BM16" s="1">
        <f t="shared" si="39"/>
        <v>7.5</v>
      </c>
      <c r="BN16" s="1" t="e">
        <f t="shared" si="40"/>
        <v>#VALUE!</v>
      </c>
      <c r="BO16" s="1" t="e">
        <f t="shared" si="41"/>
        <v>#VALUE!</v>
      </c>
      <c r="BP16" s="1">
        <f t="shared" si="42"/>
        <v>8.5</v>
      </c>
      <c r="BQ16" s="1">
        <f t="shared" si="43"/>
        <v>8</v>
      </c>
      <c r="BR16" s="1">
        <f t="shared" si="44"/>
        <v>1</v>
      </c>
    </row>
    <row r="17" spans="1:70" x14ac:dyDescent="0.2">
      <c r="A17" s="719">
        <f t="shared" si="1"/>
        <v>10</v>
      </c>
      <c r="B17" s="99">
        <f t="shared" si="2"/>
        <v>11</v>
      </c>
      <c r="C17" s="354" t="str">
        <f t="shared" si="3"/>
        <v/>
      </c>
      <c r="D17" s="316">
        <f t="shared" si="4"/>
        <v>-989</v>
      </c>
      <c r="E17" s="100">
        <f t="shared" si="5"/>
        <v>10</v>
      </c>
      <c r="F17" s="99">
        <f t="shared" si="6"/>
        <v>11</v>
      </c>
      <c r="G17" s="101" t="str">
        <f t="shared" si="7"/>
        <v/>
      </c>
      <c r="H17" s="99">
        <f t="shared" si="8"/>
        <v>-989</v>
      </c>
      <c r="I17" s="102" t="str">
        <f t="shared" si="9"/>
        <v/>
      </c>
      <c r="J17" s="103">
        <f t="shared" si="10"/>
        <v>-989</v>
      </c>
      <c r="K17" s="124">
        <f t="shared" si="11"/>
        <v>11</v>
      </c>
      <c r="L17" s="400" t="s">
        <v>228</v>
      </c>
      <c r="M17" s="125"/>
      <c r="N17" s="126" t="s">
        <v>101</v>
      </c>
      <c r="O17" s="760"/>
      <c r="P17" s="127"/>
      <c r="Q17" s="128" t="s">
        <v>86</v>
      </c>
      <c r="R17" s="110">
        <f>(IF(COUNT(Z17,AA17,AB17,AC17,AD17,AE17,AF17,AG17,AH17,AI17)&lt;10,SUM(Z17,AA17,AB17,AC17,AD17,AE17,AF17,AG17,AH17,AI17),SUM(LARGE((Z17,AA17,AB17,AC17,AD17,AE17,AF17,AG17,AH17,AI17),{1;2;3;4;5;6;7;8;9}))))</f>
        <v>110</v>
      </c>
      <c r="S17" s="111" t="str">
        <f>INDEX(ETAPP!B$1:B$32,MATCH(COUNTIF(BI17:BR17,1),ETAPP!A$1:A$32,0))&amp;INDEX(ETAPP!B$1:B$32,MATCH(COUNTIF(BI17:BR17,2),ETAPP!A$1:A$32,0))&amp;INDEX(ETAPP!B$1:B$32,MATCH(COUNTIF(BI17:BR17,3),ETAPP!A$1:A$32,0))&amp;INDEX(ETAPP!B$1:B$32,MATCH(COUNTIF(BI17:BR17,4),ETAPP!A$1:A$32,0))&amp;INDEX(ETAPP!B$1:B$32,MATCH(COUNTIF(BI17:BR17,5),ETAPP!A$1:A$32,0))&amp;INDEX(ETAPP!B$1:B$32,MATCH(COUNTIF(BI17:BR17,6),ETAPP!A$1:A$32,0))&amp;INDEX(ETAPP!B$1:B$32,MATCH(COUNTIF(BI17:BR17,7),ETAPP!A$1:A$32,0))&amp;INDEX(ETAPP!B$1:B$32,MATCH(COUNTIF(BI17:BR17,8),ETAPP!A$1:A$32,0))&amp;INDEX(ETAPP!B$1:B$32,MATCH(COUNTIF(BI17:BR17,9),ETAPP!A$1:A$32,0))&amp;INDEX(ETAPP!B$1:B$32,MATCH(COUNTIF(BI17:BR17,10),ETAPP!A$1:A$32,0))&amp;INDEX(ETAPP!B$1:B$32,MATCH(COUNTIF(BI17:BR17,11),ETAPP!A$1:A$32,0))&amp;INDEX(ETAPP!B$1:B$32,MATCH(COUNTIF(BI17:BR17,12),ETAPP!A$1:A$32,0))&amp;INDEX(ETAPP!B$1:B$32,MATCH(COUNTIF(BI17:BR17,13),ETAPP!A$1:A$32,0))&amp;INDEX(ETAPP!B$1:B$32,MATCH(COUNTIF(BI17:BR17,14),ETAPP!A$1:A$32,0))&amp;INDEX(ETAPP!B$1:B$32,MATCH(COUNTIF(BI17:BR17,15),ETAPP!A$1:A$32,0))&amp;INDEX(ETAPP!B$1:B$32,MATCH(COUNTIF(BI17:BR17,16),ETAPP!A$1:A$32,0))&amp;INDEX(ETAPP!B$1:B$32,MATCH(COUNTIF(BI17:BR17,17),ETAPP!A$1:A$32,0))&amp;INDEX(ETAPP!B$1:B$32,MATCH(COUNTIF(BI17:BR17,18),ETAPP!A$1:A$32,0))&amp;INDEX(ETAPP!B$1:B$32,MATCH(COUNTIF(BI17:BR17,19),ETAPP!A$1:A$32,0))&amp;INDEX(ETAPP!B$1:B$32,MATCH(COUNTIF(BI17:BR17,20),ETAPP!A$1:A$32,0))&amp;INDEX(ETAPP!B$1:B$32,MATCH(COUNTIF(BI17:BR17,21),ETAPP!A$1:A$32,0))</f>
        <v>00AA0AC00000000000000</v>
      </c>
      <c r="T17" s="129" t="str">
        <f t="shared" si="12"/>
        <v>110,0-00AA0AC00000000000000</v>
      </c>
      <c r="U17" s="129">
        <f t="shared" si="13"/>
        <v>11</v>
      </c>
      <c r="V17" s="129">
        <f t="shared" si="14"/>
        <v>9</v>
      </c>
      <c r="W17" s="129" t="str">
        <f t="shared" si="15"/>
        <v>110,0-00AA0AC00000000000000-009</v>
      </c>
      <c r="X17" s="129">
        <f t="shared" si="16"/>
        <v>11</v>
      </c>
      <c r="Y17" s="130">
        <f t="shared" si="17"/>
        <v>35</v>
      </c>
      <c r="Z17" s="113">
        <f>IFERROR(INDEX('V1'!C$300:C$400,MATCH("*"&amp;L17&amp;"*",'V1'!B$300:B$400,0)),"  ")</f>
        <v>4</v>
      </c>
      <c r="AA17" s="113">
        <f>IFERROR(INDEX('V2'!C$300:C$389,MATCH("*"&amp;L17&amp;"*",'V2'!B$300:B$389,0)),"  ")</f>
        <v>9</v>
      </c>
      <c r="AB17" s="113" t="str">
        <f>IFERROR(INDEX('V3'!C$300:C$399,MATCH("*"&amp;L17&amp;"*",'V3'!B$300:B$399,0)),"  ")</f>
        <v xml:space="preserve">  </v>
      </c>
      <c r="AC17" s="113">
        <f>IFERROR(INDEX('V4'!C$300:C$400,MATCH("*"&amp;L17&amp;"*",'V4'!B$300:B$400,0)),"  ")</f>
        <v>15</v>
      </c>
      <c r="AD17" s="113">
        <f>IFERROR(INDEX('V5'!C$300:C$400,MATCH("*"&amp;L17&amp;"*",'V5'!B$300:B$400,0)),"  ")</f>
        <v>14</v>
      </c>
      <c r="AE17" s="113">
        <f>IFERROR(INDEX('V6'!C$300:C$400,MATCH("*"&amp;L17&amp;"*",'V6'!B$300:B$400,0)),"  ")</f>
        <v>22</v>
      </c>
      <c r="AF17" s="113">
        <f>IFERROR(INDEX('V7'!C$300:C$400,MATCH("*"&amp;L17&amp;"*",'V7'!B$300:B$400,0)),"  ")</f>
        <v>6</v>
      </c>
      <c r="AG17" s="113">
        <f>IFERROR(INDEX('V8'!C$300:C$400,MATCH("*"&amp;L17&amp;"*",'V8'!B$300:B$400,0)),"  ")</f>
        <v>18</v>
      </c>
      <c r="AH17" s="113">
        <f>IFERROR(INDEX('V9'!C$300:C$400,MATCH("*"&amp;L17&amp;"*",'V9'!B$300:B$400,0)),"  ")</f>
        <v>16</v>
      </c>
      <c r="AI17" s="113">
        <f>IFERROR(INDEX('V10'!C$300:C$400,MATCH("*"&amp;L17&amp;"*",'V10'!B$300:B$400,0)),"  ")</f>
        <v>6</v>
      </c>
      <c r="AJ17" s="114">
        <f t="shared" si="18"/>
        <v>11</v>
      </c>
      <c r="AK17" s="346">
        <f t="shared" si="19"/>
        <v>110</v>
      </c>
      <c r="AL17" s="115" t="str">
        <f t="shared" si="20"/>
        <v>edasi 11</v>
      </c>
      <c r="AM17" s="116" t="str">
        <f>IFERROR(INDEX(#REF!,MATCH("*"&amp;L17&amp;"*",#REF!,0)),"  ")</f>
        <v xml:space="preserve">  </v>
      </c>
      <c r="AN17" s="117">
        <f t="shared" si="21"/>
        <v>9</v>
      </c>
      <c r="AO17" s="118">
        <f t="shared" si="22"/>
        <v>2</v>
      </c>
      <c r="AP17" s="118">
        <f t="shared" si="23"/>
        <v>0</v>
      </c>
      <c r="AQ17" s="48"/>
      <c r="AR17" s="1"/>
      <c r="AS17" s="1"/>
      <c r="AT17" s="119">
        <f t="shared" si="24"/>
        <v>2.9999999999999997E-4</v>
      </c>
      <c r="AU17" s="120">
        <f t="shared" si="25"/>
        <v>4.0000999999999998</v>
      </c>
      <c r="AV17" s="120">
        <f t="shared" si="26"/>
        <v>9.0001999999999995</v>
      </c>
      <c r="AW17" s="120">
        <f t="shared" si="27"/>
        <v>2.9999999999999997E-4</v>
      </c>
      <c r="AX17" s="120">
        <f t="shared" si="28"/>
        <v>15.000400000000001</v>
      </c>
      <c r="AY17" s="120">
        <f t="shared" si="29"/>
        <v>14.000500000000001</v>
      </c>
      <c r="AZ17" s="120">
        <f t="shared" si="30"/>
        <v>22.000599999999999</v>
      </c>
      <c r="BA17" s="120">
        <f t="shared" si="31"/>
        <v>6.0007000000000001</v>
      </c>
      <c r="BB17" s="120">
        <f t="shared" si="32"/>
        <v>18.000800000000002</v>
      </c>
      <c r="BC17" s="120">
        <f t="shared" si="33"/>
        <v>16.000900000000001</v>
      </c>
      <c r="BD17" s="120">
        <f t="shared" si="34"/>
        <v>6.0010000000000003</v>
      </c>
      <c r="BE17" s="122"/>
      <c r="BI17" s="1">
        <f t="shared" si="35"/>
        <v>7</v>
      </c>
      <c r="BJ17" s="1">
        <f t="shared" si="36"/>
        <v>7</v>
      </c>
      <c r="BK17" s="1" t="e">
        <f t="shared" si="37"/>
        <v>#VALUE!</v>
      </c>
      <c r="BL17" s="1">
        <f t="shared" si="38"/>
        <v>4</v>
      </c>
      <c r="BM17" s="1">
        <f t="shared" si="39"/>
        <v>4.5</v>
      </c>
      <c r="BN17" s="1">
        <f t="shared" si="40"/>
        <v>3</v>
      </c>
      <c r="BO17" s="1">
        <f t="shared" si="41"/>
        <v>7</v>
      </c>
      <c r="BP17" s="1">
        <f t="shared" si="42"/>
        <v>5.5</v>
      </c>
      <c r="BQ17" s="1">
        <f t="shared" si="43"/>
        <v>6</v>
      </c>
      <c r="BR17" s="1">
        <f t="shared" si="44"/>
        <v>8.5</v>
      </c>
    </row>
    <row r="18" spans="1:70" x14ac:dyDescent="0.2">
      <c r="A18" s="719">
        <f t="shared" si="1"/>
        <v>11</v>
      </c>
      <c r="B18" s="99">
        <f t="shared" si="2"/>
        <v>12</v>
      </c>
      <c r="C18" s="354">
        <f t="shared" si="3"/>
        <v>7</v>
      </c>
      <c r="D18" s="316">
        <f t="shared" si="4"/>
        <v>12</v>
      </c>
      <c r="E18" s="100" t="str">
        <f t="shared" si="5"/>
        <v/>
      </c>
      <c r="F18" s="99">
        <f t="shared" si="6"/>
        <v>-988</v>
      </c>
      <c r="G18" s="101">
        <f t="shared" si="7"/>
        <v>2</v>
      </c>
      <c r="H18" s="99">
        <f t="shared" si="8"/>
        <v>12</v>
      </c>
      <c r="I18" s="102" t="str">
        <f t="shared" si="9"/>
        <v/>
      </c>
      <c r="J18" s="103">
        <f t="shared" si="10"/>
        <v>-988</v>
      </c>
      <c r="K18" s="70">
        <f t="shared" si="11"/>
        <v>12</v>
      </c>
      <c r="L18" s="121" t="s">
        <v>235</v>
      </c>
      <c r="M18" s="105" t="s">
        <v>104</v>
      </c>
      <c r="N18" s="106"/>
      <c r="O18" s="107"/>
      <c r="P18" s="108" t="s">
        <v>233</v>
      </c>
      <c r="Q18" s="109" t="s">
        <v>86</v>
      </c>
      <c r="R18" s="110">
        <f>(IF(COUNT(Z18,AA18,AB18,AC18,AD18,AE18,AF18,AG18,AH18,AI18)&lt;10,SUM(Z18,AA18,AB18,AC18,AD18,AE18,AF18,AG18,AH18,AI18),SUM(LARGE((Z18,AA18,AB18,AC18,AD18,AE18,AF18,AG18,AH18,AI18),{1;2;3;4;5;6;7;8;9}))))</f>
        <v>103</v>
      </c>
      <c r="S18" s="111" t="str">
        <f>INDEX(ETAPP!B$1:B$32,MATCH(COUNTIF(BI18:BR18,1),ETAPP!A$1:A$32,0))&amp;INDEX(ETAPP!B$1:B$32,MATCH(COUNTIF(BI18:BR18,2),ETAPP!A$1:A$32,0))&amp;INDEX(ETAPP!B$1:B$32,MATCH(COUNTIF(BI18:BR18,3),ETAPP!A$1:A$32,0))&amp;INDEX(ETAPP!B$1:B$32,MATCH(COUNTIF(BI18:BR18,4),ETAPP!A$1:A$32,0))&amp;INDEX(ETAPP!B$1:B$32,MATCH(COUNTIF(BI18:BR18,5),ETAPP!A$1:A$32,0))&amp;INDEX(ETAPP!B$1:B$32,MATCH(COUNTIF(BI18:BR18,6),ETAPP!A$1:A$32,0))&amp;INDEX(ETAPP!B$1:B$32,MATCH(COUNTIF(BI18:BR18,7),ETAPP!A$1:A$32,0))&amp;INDEX(ETAPP!B$1:B$32,MATCH(COUNTIF(BI18:BR18,8),ETAPP!A$1:A$32,0))&amp;INDEX(ETAPP!B$1:B$32,MATCH(COUNTIF(BI18:BR18,9),ETAPP!A$1:A$32,0))&amp;INDEX(ETAPP!B$1:B$32,MATCH(COUNTIF(BI18:BR18,10),ETAPP!A$1:A$32,0))&amp;INDEX(ETAPP!B$1:B$32,MATCH(COUNTIF(BI18:BR18,11),ETAPP!A$1:A$32,0))&amp;INDEX(ETAPP!B$1:B$32,MATCH(COUNTIF(BI18:BR18,12),ETAPP!A$1:A$32,0))&amp;INDEX(ETAPP!B$1:B$32,MATCH(COUNTIF(BI18:BR18,13),ETAPP!A$1:A$32,0))&amp;INDEX(ETAPP!B$1:B$32,MATCH(COUNTIF(BI18:BR18,14),ETAPP!A$1:A$32,0))&amp;INDEX(ETAPP!B$1:B$32,MATCH(COUNTIF(BI18:BR18,15),ETAPP!A$1:A$32,0))&amp;INDEX(ETAPP!B$1:B$32,MATCH(COUNTIF(BI18:BR18,16),ETAPP!A$1:A$32,0))&amp;INDEX(ETAPP!B$1:B$32,MATCH(COUNTIF(BI18:BR18,17),ETAPP!A$1:A$32,0))&amp;INDEX(ETAPP!B$1:B$32,MATCH(COUNTIF(BI18:BR18,18),ETAPP!A$1:A$32,0))&amp;INDEX(ETAPP!B$1:B$32,MATCH(COUNTIF(BI18:BR18,19),ETAPP!A$1:A$32,0))&amp;INDEX(ETAPP!B$1:B$32,MATCH(COUNTIF(BI18:BR18,20),ETAPP!A$1:A$32,0))&amp;INDEX(ETAPP!B$1:B$32,MATCH(COUNTIF(BI18:BR18,21),ETAPP!A$1:A$32,0))</f>
        <v>A00B00B00B00000000000</v>
      </c>
      <c r="T18" s="111" t="str">
        <f t="shared" si="12"/>
        <v>103,0-A00B00B00B00000000000</v>
      </c>
      <c r="U18" s="111">
        <f t="shared" si="13"/>
        <v>12</v>
      </c>
      <c r="V18" s="111">
        <f t="shared" si="14"/>
        <v>8</v>
      </c>
      <c r="W18" s="111" t="str">
        <f t="shared" si="15"/>
        <v>103,0-A00B00B00B00000000000-008</v>
      </c>
      <c r="X18" s="111">
        <f t="shared" si="16"/>
        <v>12</v>
      </c>
      <c r="Y18" s="112">
        <f t="shared" si="17"/>
        <v>34</v>
      </c>
      <c r="Z18" s="113" t="str">
        <f>IFERROR(INDEX('V1'!C$300:C$400,MATCH("*"&amp;L18&amp;"*",'V1'!B$300:B$400,0)),"  ")</f>
        <v xml:space="preserve">  </v>
      </c>
      <c r="AA18" s="113">
        <f>IFERROR(INDEX('V2'!C$300:C$389,MATCH("*"&amp;L18&amp;"*",'V2'!B$300:B$389,0)),"  ")</f>
        <v>3</v>
      </c>
      <c r="AB18" s="113">
        <f>IFERROR(INDEX('V3'!C$300:C$399,MATCH("*"&amp;L18&amp;"*",'V3'!B$300:B$399,0)),"  ")</f>
        <v>18</v>
      </c>
      <c r="AC18" s="113">
        <f>IFERROR(INDEX('V4'!C$300:C$400,MATCH("*"&amp;L18&amp;"*",'V4'!B$300:B$400,0)),"  ")</f>
        <v>12</v>
      </c>
      <c r="AD18" s="113" t="str">
        <f>IFERROR(INDEX('V5'!C$300:C$400,MATCH("*"&amp;L18&amp;"*",'V5'!B$300:B$400,0)),"  ")</f>
        <v xml:space="preserve">  </v>
      </c>
      <c r="AE18" s="113">
        <f>IFERROR(INDEX('V6'!C$300:C$400,MATCH("*"&amp;L18&amp;"*",'V6'!B$300:B$400,0)),"  ")</f>
        <v>14</v>
      </c>
      <c r="AF18" s="113">
        <f>IFERROR(INDEX('V7'!C$300:C$400,MATCH("*"&amp;L18&amp;"*",'V7'!B$300:B$400,0)),"  ")</f>
        <v>18</v>
      </c>
      <c r="AG18" s="113">
        <f>IFERROR(INDEX('V8'!C$300:C$400,MATCH("*"&amp;L18&amp;"*",'V8'!B$300:B$400,0)),"  ")</f>
        <v>9</v>
      </c>
      <c r="AH18" s="113">
        <f>IFERROR(INDEX('V9'!C$300:C$400,MATCH("*"&amp;L18&amp;"*",'V9'!B$300:B$400,0)),"  ")</f>
        <v>14</v>
      </c>
      <c r="AI18" s="113">
        <f>IFERROR(INDEX('V10'!C$300:C$400,MATCH("*"&amp;L18&amp;"*",'V10'!B$300:B$400,0)),"  ")</f>
        <v>15</v>
      </c>
      <c r="AJ18" s="114">
        <f t="shared" si="18"/>
        <v>12</v>
      </c>
      <c r="AK18" s="346">
        <f t="shared" si="19"/>
        <v>103</v>
      </c>
      <c r="AL18" s="115" t="str">
        <f t="shared" si="20"/>
        <v>edasi 12</v>
      </c>
      <c r="AM18" s="116" t="str">
        <f>IFERROR(INDEX(#REF!,MATCH("*"&amp;L18&amp;"*",#REF!,0)),"  ")</f>
        <v xml:space="preserve">  </v>
      </c>
      <c r="AN18" s="117">
        <f t="shared" si="21"/>
        <v>8</v>
      </c>
      <c r="AO18" s="118">
        <f t="shared" si="22"/>
        <v>2</v>
      </c>
      <c r="AP18" s="118">
        <f t="shared" si="23"/>
        <v>1</v>
      </c>
      <c r="AQ18" s="122"/>
      <c r="AR18" s="122"/>
      <c r="AS18" s="122"/>
      <c r="AT18" s="119">
        <f t="shared" si="24"/>
        <v>1E-4</v>
      </c>
      <c r="AU18" s="120">
        <f t="shared" si="25"/>
        <v>1E-4</v>
      </c>
      <c r="AV18" s="120">
        <f t="shared" si="26"/>
        <v>3.0002</v>
      </c>
      <c r="AW18" s="120">
        <f t="shared" si="27"/>
        <v>18.000299999999999</v>
      </c>
      <c r="AX18" s="120">
        <f t="shared" si="28"/>
        <v>12.000400000000001</v>
      </c>
      <c r="AY18" s="120">
        <f t="shared" si="29"/>
        <v>5.0000000000000001E-4</v>
      </c>
      <c r="AZ18" s="120">
        <f t="shared" si="30"/>
        <v>14.0006</v>
      </c>
      <c r="BA18" s="120">
        <f t="shared" si="31"/>
        <v>18.000699999999998</v>
      </c>
      <c r="BB18" s="120">
        <f t="shared" si="32"/>
        <v>9.0007999999999999</v>
      </c>
      <c r="BC18" s="120">
        <f t="shared" si="33"/>
        <v>14.0009</v>
      </c>
      <c r="BD18" s="120">
        <f t="shared" si="34"/>
        <v>15.000999999999999</v>
      </c>
      <c r="BE18" s="122"/>
      <c r="BI18" s="1" t="e">
        <f t="shared" si="35"/>
        <v>#VALUE!</v>
      </c>
      <c r="BJ18" s="1">
        <f t="shared" si="36"/>
        <v>10</v>
      </c>
      <c r="BK18" s="1">
        <f t="shared" si="37"/>
        <v>4</v>
      </c>
      <c r="BL18" s="1">
        <f t="shared" si="38"/>
        <v>5.5</v>
      </c>
      <c r="BM18" s="1" t="e">
        <f t="shared" si="39"/>
        <v>#VALUE!</v>
      </c>
      <c r="BN18" s="1">
        <f t="shared" si="40"/>
        <v>7</v>
      </c>
      <c r="BO18" s="1">
        <f t="shared" si="41"/>
        <v>1</v>
      </c>
      <c r="BP18" s="1">
        <f t="shared" si="42"/>
        <v>10</v>
      </c>
      <c r="BQ18" s="1">
        <f t="shared" si="43"/>
        <v>7</v>
      </c>
      <c r="BR18" s="1">
        <f t="shared" si="44"/>
        <v>4</v>
      </c>
    </row>
    <row r="19" spans="1:70" x14ac:dyDescent="0.2">
      <c r="A19" s="719">
        <f t="shared" si="1"/>
        <v>12</v>
      </c>
      <c r="B19" s="99">
        <f t="shared" si="2"/>
        <v>13</v>
      </c>
      <c r="C19" s="354" t="str">
        <f t="shared" si="3"/>
        <v/>
      </c>
      <c r="D19" s="316">
        <f t="shared" si="4"/>
        <v>-987</v>
      </c>
      <c r="E19" s="100" t="str">
        <f t="shared" si="5"/>
        <v/>
      </c>
      <c r="F19" s="99">
        <f t="shared" si="6"/>
        <v>-987</v>
      </c>
      <c r="G19" s="101">
        <f t="shared" si="7"/>
        <v>3</v>
      </c>
      <c r="H19" s="99">
        <f t="shared" si="8"/>
        <v>13</v>
      </c>
      <c r="I19" s="102">
        <f t="shared" si="9"/>
        <v>1</v>
      </c>
      <c r="J19" s="103">
        <f t="shared" si="10"/>
        <v>13</v>
      </c>
      <c r="K19" s="70">
        <f t="shared" si="11"/>
        <v>13</v>
      </c>
      <c r="L19" s="121" t="s">
        <v>280</v>
      </c>
      <c r="M19" s="105" t="s">
        <v>104</v>
      </c>
      <c r="N19" s="106"/>
      <c r="O19" s="138" t="s">
        <v>111</v>
      </c>
      <c r="P19" s="108"/>
      <c r="Q19" s="109" t="s">
        <v>86</v>
      </c>
      <c r="R19" s="110">
        <f>(IF(COUNT(Z19,AA19,AB19,AC19,AD19,AE19,AF19,AG19,AH19,AI19)&lt;10,SUM(Z19,AA19,AB19,AC19,AD19,AE19,AF19,AG19,AH19,AI19),SUM(LARGE((Z19,AA19,AB19,AC19,AD19,AE19,AF19,AG19,AH19,AI19),{1;2;3;4;5;6;7;8;9}))))</f>
        <v>98</v>
      </c>
      <c r="S19" s="111" t="str">
        <f>INDEX(ETAPP!B$1:B$32,MATCH(COUNTIF(BI19:BR19,1),ETAPP!A$1:A$32,0))&amp;INDEX(ETAPP!B$1:B$32,MATCH(COUNTIF(BI19:BR19,2),ETAPP!A$1:A$32,0))&amp;INDEX(ETAPP!B$1:B$32,MATCH(COUNTIF(BI19:BR19,3),ETAPP!A$1:A$32,0))&amp;INDEX(ETAPP!B$1:B$32,MATCH(COUNTIF(BI19:BR19,4),ETAPP!A$1:A$32,0))&amp;INDEX(ETAPP!B$1:B$32,MATCH(COUNTIF(BI19:BR19,5),ETAPP!A$1:A$32,0))&amp;INDEX(ETAPP!B$1:B$32,MATCH(COUNTIF(BI19:BR19,6),ETAPP!A$1:A$32,0))&amp;INDEX(ETAPP!B$1:B$32,MATCH(COUNTIF(BI19:BR19,7),ETAPP!A$1:A$32,0))&amp;INDEX(ETAPP!B$1:B$32,MATCH(COUNTIF(BI19:BR19,8),ETAPP!A$1:A$32,0))&amp;INDEX(ETAPP!B$1:B$32,MATCH(COUNTIF(BI19:BR19,9),ETAPP!A$1:A$32,0))&amp;INDEX(ETAPP!B$1:B$32,MATCH(COUNTIF(BI19:BR19,10),ETAPP!A$1:A$32,0))&amp;INDEX(ETAPP!B$1:B$32,MATCH(COUNTIF(BI19:BR19,11),ETAPP!A$1:A$32,0))&amp;INDEX(ETAPP!B$1:B$32,MATCH(COUNTIF(BI19:BR19,12),ETAPP!A$1:A$32,0))&amp;INDEX(ETAPP!B$1:B$32,MATCH(COUNTIF(BI19:BR19,13),ETAPP!A$1:A$32,0))&amp;INDEX(ETAPP!B$1:B$32,MATCH(COUNTIF(BI19:BR19,14),ETAPP!A$1:A$32,0))&amp;INDEX(ETAPP!B$1:B$32,MATCH(COUNTIF(BI19:BR19,15),ETAPP!A$1:A$32,0))&amp;INDEX(ETAPP!B$1:B$32,MATCH(COUNTIF(BI19:BR19,16),ETAPP!A$1:A$32,0))&amp;INDEX(ETAPP!B$1:B$32,MATCH(COUNTIF(BI19:BR19,17),ETAPP!A$1:A$32,0))&amp;INDEX(ETAPP!B$1:B$32,MATCH(COUNTIF(BI19:BR19,18),ETAPP!A$1:A$32,0))&amp;INDEX(ETAPP!B$1:B$32,MATCH(COUNTIF(BI19:BR19,19),ETAPP!A$1:A$32,0))&amp;INDEX(ETAPP!B$1:B$32,MATCH(COUNTIF(BI19:BR19,20),ETAPP!A$1:A$32,0))&amp;INDEX(ETAPP!B$1:B$32,MATCH(COUNTIF(BI19:BR19,21),ETAPP!A$1:A$32,0))</f>
        <v>00AA00000AA0000000000</v>
      </c>
      <c r="T19" s="111" t="str">
        <f t="shared" si="12"/>
        <v>098,0-00AA00000AA0000000000</v>
      </c>
      <c r="U19" s="111">
        <f t="shared" si="13"/>
        <v>13</v>
      </c>
      <c r="V19" s="111">
        <f t="shared" si="14"/>
        <v>39</v>
      </c>
      <c r="W19" s="111" t="str">
        <f t="shared" si="15"/>
        <v>098,0-00AA00000AA0000000000-039</v>
      </c>
      <c r="X19" s="111">
        <f t="shared" si="16"/>
        <v>13</v>
      </c>
      <c r="Y19" s="112">
        <f t="shared" si="17"/>
        <v>33</v>
      </c>
      <c r="Z19" s="113">
        <f>IFERROR(INDEX('V1'!C$300:C$400,MATCH("*"&amp;L19&amp;"*",'V1'!B$300:B$400,0)),"  ")</f>
        <v>12</v>
      </c>
      <c r="AA19" s="113">
        <f>IFERROR(INDEX('V2'!C$300:C$389,MATCH("*"&amp;L19&amp;"*",'V2'!B$300:B$389,0)),"  ")</f>
        <v>12</v>
      </c>
      <c r="AB19" s="113" t="str">
        <f>IFERROR(INDEX('V3'!C$300:C$399,MATCH("*"&amp;L19&amp;"*",'V3'!B$300:B$399,0)),"  ")</f>
        <v xml:space="preserve">  </v>
      </c>
      <c r="AC19" s="113">
        <f>IFERROR(INDEX('V4'!C$300:C$400,MATCH("*"&amp;L19&amp;"*",'V4'!B$300:B$400,0)),"  ")</f>
        <v>18</v>
      </c>
      <c r="AD19" s="113">
        <f>IFERROR(INDEX('V5'!C$300:C$400,MATCH("*"&amp;L19&amp;"*",'V5'!B$300:B$400,0)),"  ")</f>
        <v>12</v>
      </c>
      <c r="AE19" s="113">
        <f>IFERROR(INDEX('V6'!C$300:C$400,MATCH("*"&amp;L19&amp;"*",'V6'!B$300:B$400,0)),"  ")</f>
        <v>6</v>
      </c>
      <c r="AF19" s="113">
        <f>IFERROR(INDEX('V7'!C$300:C$400,MATCH("*"&amp;L19&amp;"*",'V7'!B$300:B$400,0)),"  ")</f>
        <v>12</v>
      </c>
      <c r="AG19" s="113" t="str">
        <f>IFERROR(INDEX('V8'!C$300:C$400,MATCH("*"&amp;L19&amp;"*",'V8'!B$300:B$400,0)),"  ")</f>
        <v xml:space="preserve">  </v>
      </c>
      <c r="AH19" s="113">
        <f>IFERROR(INDEX('V9'!C$300:C$400,MATCH("*"&amp;L19&amp;"*",'V9'!B$300:B$400,0)),"  ")</f>
        <v>8</v>
      </c>
      <c r="AI19" s="113">
        <f>IFERROR(INDEX('V10'!C$300:C$400,MATCH("*"&amp;L19&amp;"*",'V10'!B$300:B$400,0)),"  ")</f>
        <v>18</v>
      </c>
      <c r="AJ19" s="114">
        <f t="shared" si="18"/>
        <v>13</v>
      </c>
      <c r="AK19" s="346">
        <f t="shared" si="19"/>
        <v>98</v>
      </c>
      <c r="AL19" s="115" t="str">
        <f t="shared" si="20"/>
        <v>edasi 13</v>
      </c>
      <c r="AM19" s="116" t="str">
        <f>IFERROR(INDEX(#REF!,MATCH("*"&amp;L19&amp;"*",#REF!,0)),"  ")</f>
        <v xml:space="preserve">  </v>
      </c>
      <c r="AN19" s="117">
        <f t="shared" si="21"/>
        <v>8</v>
      </c>
      <c r="AO19" s="118">
        <f t="shared" si="22"/>
        <v>4</v>
      </c>
      <c r="AP19" s="118">
        <f t="shared" si="23"/>
        <v>0</v>
      </c>
      <c r="AQ19" s="122"/>
      <c r="AR19" s="122"/>
      <c r="AS19" s="122"/>
      <c r="AT19" s="119">
        <f t="shared" si="24"/>
        <v>2.9999999999999997E-4</v>
      </c>
      <c r="AU19" s="120">
        <f t="shared" si="25"/>
        <v>12.0001</v>
      </c>
      <c r="AV19" s="120">
        <f t="shared" si="26"/>
        <v>12.0002</v>
      </c>
      <c r="AW19" s="120">
        <f t="shared" si="27"/>
        <v>2.9999999999999997E-4</v>
      </c>
      <c r="AX19" s="120">
        <f t="shared" si="28"/>
        <v>18.000399999999999</v>
      </c>
      <c r="AY19" s="120">
        <f t="shared" si="29"/>
        <v>12.000500000000001</v>
      </c>
      <c r="AZ19" s="120">
        <f t="shared" si="30"/>
        <v>6.0006000000000004</v>
      </c>
      <c r="BA19" s="120">
        <f t="shared" si="31"/>
        <v>12.0007</v>
      </c>
      <c r="BB19" s="120">
        <f t="shared" si="32"/>
        <v>8.0000000000000004E-4</v>
      </c>
      <c r="BC19" s="120">
        <f t="shared" si="33"/>
        <v>8.0008999999999997</v>
      </c>
      <c r="BD19" s="120">
        <f t="shared" si="34"/>
        <v>18.001000000000001</v>
      </c>
      <c r="BE19" s="122"/>
      <c r="BI19" s="1">
        <f t="shared" si="35"/>
        <v>3</v>
      </c>
      <c r="BJ19" s="1">
        <f t="shared" si="36"/>
        <v>5.5</v>
      </c>
      <c r="BK19" s="1" t="e">
        <f t="shared" si="37"/>
        <v>#VALUE!</v>
      </c>
      <c r="BL19" s="1">
        <f t="shared" si="38"/>
        <v>2.5</v>
      </c>
      <c r="BM19" s="1">
        <f t="shared" si="39"/>
        <v>5.5</v>
      </c>
      <c r="BN19" s="1">
        <f t="shared" si="40"/>
        <v>11</v>
      </c>
      <c r="BO19" s="1">
        <f t="shared" si="41"/>
        <v>4</v>
      </c>
      <c r="BP19" s="1" t="e">
        <f t="shared" si="42"/>
        <v>#VALUE!</v>
      </c>
      <c r="BQ19" s="1">
        <f t="shared" si="43"/>
        <v>10</v>
      </c>
      <c r="BR19" s="1">
        <f t="shared" si="44"/>
        <v>2.5</v>
      </c>
    </row>
    <row r="20" spans="1:70" x14ac:dyDescent="0.2">
      <c r="A20" s="719" t="str">
        <f t="shared" si="1"/>
        <v/>
      </c>
      <c r="B20" s="99">
        <f t="shared" si="2"/>
        <v>-985</v>
      </c>
      <c r="C20" s="354" t="str">
        <f t="shared" si="3"/>
        <v/>
      </c>
      <c r="D20" s="316">
        <f t="shared" si="4"/>
        <v>-985</v>
      </c>
      <c r="E20" s="100">
        <f t="shared" si="5"/>
        <v>11</v>
      </c>
      <c r="F20" s="99">
        <f t="shared" si="6"/>
        <v>15</v>
      </c>
      <c r="G20" s="101" t="str">
        <f t="shared" si="7"/>
        <v/>
      </c>
      <c r="H20" s="99">
        <f t="shared" si="8"/>
        <v>-985</v>
      </c>
      <c r="I20" s="102" t="str">
        <f t="shared" si="9"/>
        <v/>
      </c>
      <c r="J20" s="103">
        <f t="shared" si="10"/>
        <v>-985</v>
      </c>
      <c r="K20" s="70">
        <f t="shared" si="11"/>
        <v>14</v>
      </c>
      <c r="L20" s="104" t="s">
        <v>99</v>
      </c>
      <c r="M20" s="105"/>
      <c r="N20" s="106" t="str">
        <f>IF(M20="","m","")</f>
        <v>m</v>
      </c>
      <c r="O20" s="107"/>
      <c r="P20" s="108"/>
      <c r="Q20" s="109" t="s">
        <v>308</v>
      </c>
      <c r="R20" s="110">
        <f>(IF(COUNT(Z20,AA20,AB20,AC20,AD20,AE20,AF20,AG20,AH20,AI20)&lt;10,SUM(Z20,AA20,AB20,AC20,AD20,AE20,AF20,AG20,AH20,AI20),SUM(LARGE((Z20,AA20,AB20,AC20,AD20,AE20,AF20,AG20,AH20,AI20),{1;2;3;4;5;6;7;8;9}))))</f>
        <v>73</v>
      </c>
      <c r="S20" s="111" t="str">
        <f>INDEX(ETAPP!B$1:B$32,MATCH(COUNTIF(BI20:BR20,1),ETAPP!A$1:A$32,0))&amp;INDEX(ETAPP!B$1:B$32,MATCH(COUNTIF(BI20:BR20,2),ETAPP!A$1:A$32,0))&amp;INDEX(ETAPP!B$1:B$32,MATCH(COUNTIF(BI20:BR20,3),ETAPP!A$1:A$32,0))&amp;INDEX(ETAPP!B$1:B$32,MATCH(COUNTIF(BI20:BR20,4),ETAPP!A$1:A$32,0))&amp;INDEX(ETAPP!B$1:B$32,MATCH(COUNTIF(BI20:BR20,5),ETAPP!A$1:A$32,0))&amp;INDEX(ETAPP!B$1:B$32,MATCH(COUNTIF(BI20:BR20,6),ETAPP!A$1:A$32,0))&amp;INDEX(ETAPP!B$1:B$32,MATCH(COUNTIF(BI20:BR20,7),ETAPP!A$1:A$32,0))&amp;INDEX(ETAPP!B$1:B$32,MATCH(COUNTIF(BI20:BR20,8),ETAPP!A$1:A$32,0))&amp;INDEX(ETAPP!B$1:B$32,MATCH(COUNTIF(BI20:BR20,9),ETAPP!A$1:A$32,0))&amp;INDEX(ETAPP!B$1:B$32,MATCH(COUNTIF(BI20:BR20,10),ETAPP!A$1:A$32,0))&amp;INDEX(ETAPP!B$1:B$32,MATCH(COUNTIF(BI20:BR20,11),ETAPP!A$1:A$32,0))&amp;INDEX(ETAPP!B$1:B$32,MATCH(COUNTIF(BI20:BR20,12),ETAPP!A$1:A$32,0))&amp;INDEX(ETAPP!B$1:B$32,MATCH(COUNTIF(BI20:BR20,13),ETAPP!A$1:A$32,0))&amp;INDEX(ETAPP!B$1:B$32,MATCH(COUNTIF(BI20:BR20,14),ETAPP!A$1:A$32,0))&amp;INDEX(ETAPP!B$1:B$32,MATCH(COUNTIF(BI20:BR20,15),ETAPP!A$1:A$32,0))&amp;INDEX(ETAPP!B$1:B$32,MATCH(COUNTIF(BI20:BR20,16),ETAPP!A$1:A$32,0))&amp;INDEX(ETAPP!B$1:B$32,MATCH(COUNTIF(BI20:BR20,17),ETAPP!A$1:A$32,0))&amp;INDEX(ETAPP!B$1:B$32,MATCH(COUNTIF(BI20:BR20,18),ETAPP!A$1:A$32,0))&amp;INDEX(ETAPP!B$1:B$32,MATCH(COUNTIF(BI20:BR20,19),ETAPP!A$1:A$32,0))&amp;INDEX(ETAPP!B$1:B$32,MATCH(COUNTIF(BI20:BR20,20),ETAPP!A$1:A$32,0))&amp;INDEX(ETAPP!B$1:B$32,MATCH(COUNTIF(BI20:BR20,21),ETAPP!A$1:A$32,0))</f>
        <v>A0000AC00000000000000</v>
      </c>
      <c r="T20" s="111" t="str">
        <f t="shared" si="12"/>
        <v>073,0-A0000AC00000000000000</v>
      </c>
      <c r="U20" s="111">
        <f t="shared" si="13"/>
        <v>15</v>
      </c>
      <c r="V20" s="111">
        <f t="shared" si="14"/>
        <v>28</v>
      </c>
      <c r="W20" s="111" t="str">
        <f t="shared" si="15"/>
        <v>073,0-A0000AC00000000000000-028</v>
      </c>
      <c r="X20" s="111">
        <f t="shared" si="16"/>
        <v>14</v>
      </c>
      <c r="Y20" s="112">
        <f t="shared" si="17"/>
        <v>32</v>
      </c>
      <c r="Z20" s="113" t="str">
        <f>IFERROR(INDEX('V1'!C$300:C$400,MATCH("*"&amp;L20&amp;"*",'V1'!B$300:B$400,0)),"  ")</f>
        <v xml:space="preserve">  </v>
      </c>
      <c r="AA20" s="113">
        <f>IFERROR(INDEX('V2'!C$300:C$389,MATCH("*"&amp;L20&amp;"*",'V2'!B$300:B$389,0)),"  ")</f>
        <v>9</v>
      </c>
      <c r="AB20" s="113">
        <f>IFERROR(INDEX('V3'!C$300:C$399,MATCH("*"&amp;L20&amp;"*",'V3'!B$300:B$399,0)),"  ")</f>
        <v>14</v>
      </c>
      <c r="AC20" s="113" t="str">
        <f>IFERROR(INDEX('V4'!C$300:C$400,MATCH("*"&amp;L20&amp;"*",'V4'!B$300:B$400,0)),"  ")</f>
        <v xml:space="preserve">  </v>
      </c>
      <c r="AD20" s="113" t="str">
        <f>IFERROR(INDEX('V5'!C$300:C$400,MATCH("*"&amp;L20&amp;"*",'V5'!B$300:B$400,0)),"  ")</f>
        <v xml:space="preserve">  </v>
      </c>
      <c r="AE20" s="113" t="str">
        <f>IFERROR(INDEX('V6'!C$300:C$400,MATCH("*"&amp;L20&amp;"*",'V6'!B$300:B$400,0)),"  ")</f>
        <v xml:space="preserve">  </v>
      </c>
      <c r="AF20" s="113" t="str">
        <f>IFERROR(INDEX('V7'!C$300:C$400,MATCH("*"&amp;L20&amp;"*",'V7'!B$300:B$400,0)),"  ")</f>
        <v xml:space="preserve">  </v>
      </c>
      <c r="AG20" s="113">
        <f>IFERROR(INDEX('V8'!C$300:C$400,MATCH("*"&amp;L20&amp;"*",'V8'!B$300:B$400,0)),"  ")</f>
        <v>15</v>
      </c>
      <c r="AH20" s="113">
        <f>IFERROR(INDEX('V9'!C$300:C$400,MATCH("*"&amp;L20&amp;"*",'V9'!B$300:B$400,0)),"  ")</f>
        <v>26</v>
      </c>
      <c r="AI20" s="113">
        <f>IFERROR(INDEX('V10'!C$300:C$400,MATCH("*"&amp;L20&amp;"*",'V10'!B$300:B$400,0)),"  ")</f>
        <v>9</v>
      </c>
      <c r="AJ20" s="114">
        <f t="shared" si="18"/>
        <v>14</v>
      </c>
      <c r="AK20" s="346">
        <f t="shared" si="19"/>
        <v>73</v>
      </c>
      <c r="AL20" s="115" t="str">
        <f t="shared" si="20"/>
        <v>edasi 14</v>
      </c>
      <c r="AM20" s="116" t="str">
        <f>IFERROR(INDEX(#REF!,MATCH("*"&amp;L20&amp;"*",#REF!,0)),"  ")</f>
        <v xml:space="preserve">  </v>
      </c>
      <c r="AN20" s="117">
        <f t="shared" si="21"/>
        <v>5</v>
      </c>
      <c r="AO20" s="118">
        <f t="shared" si="22"/>
        <v>1</v>
      </c>
      <c r="AP20" s="118">
        <f t="shared" si="23"/>
        <v>1</v>
      </c>
      <c r="AQ20" s="48"/>
      <c r="AR20" s="1"/>
      <c r="AS20" s="1"/>
      <c r="AT20" s="119">
        <f t="shared" si="24"/>
        <v>1E-4</v>
      </c>
      <c r="AU20" s="120">
        <f t="shared" si="25"/>
        <v>1E-4</v>
      </c>
      <c r="AV20" s="120">
        <f t="shared" si="26"/>
        <v>9.0001999999999995</v>
      </c>
      <c r="AW20" s="120">
        <f t="shared" si="27"/>
        <v>14.000299999999999</v>
      </c>
      <c r="AX20" s="120">
        <f t="shared" si="28"/>
        <v>4.0000000000000002E-4</v>
      </c>
      <c r="AY20" s="120">
        <f t="shared" si="29"/>
        <v>5.0000000000000001E-4</v>
      </c>
      <c r="AZ20" s="120">
        <f t="shared" si="30"/>
        <v>5.9999999999999995E-4</v>
      </c>
      <c r="BA20" s="120">
        <f t="shared" si="31"/>
        <v>6.9999999999999999E-4</v>
      </c>
      <c r="BB20" s="120">
        <f t="shared" si="32"/>
        <v>15.0008</v>
      </c>
      <c r="BC20" s="120">
        <f t="shared" si="33"/>
        <v>26.000900000000001</v>
      </c>
      <c r="BD20" s="120">
        <f t="shared" si="34"/>
        <v>9.0009999999999994</v>
      </c>
      <c r="BE20" s="122"/>
      <c r="BI20" s="1" t="e">
        <f t="shared" si="35"/>
        <v>#VALUE!</v>
      </c>
      <c r="BJ20" s="1">
        <f t="shared" si="36"/>
        <v>7</v>
      </c>
      <c r="BK20" s="1">
        <f t="shared" si="37"/>
        <v>6</v>
      </c>
      <c r="BL20" s="1" t="e">
        <f t="shared" si="38"/>
        <v>#VALUE!</v>
      </c>
      <c r="BM20" s="1" t="e">
        <f t="shared" si="39"/>
        <v>#VALUE!</v>
      </c>
      <c r="BN20" s="1" t="e">
        <f t="shared" si="40"/>
        <v>#VALUE!</v>
      </c>
      <c r="BO20" s="1" t="e">
        <f t="shared" si="41"/>
        <v>#VALUE!</v>
      </c>
      <c r="BP20" s="1">
        <f t="shared" si="42"/>
        <v>7</v>
      </c>
      <c r="BQ20" s="1">
        <f t="shared" si="43"/>
        <v>1</v>
      </c>
      <c r="BR20" s="1">
        <f t="shared" si="44"/>
        <v>7</v>
      </c>
    </row>
    <row r="21" spans="1:70" x14ac:dyDescent="0.2">
      <c r="A21" s="719" t="str">
        <f t="shared" si="1"/>
        <v/>
      </c>
      <c r="B21" s="99">
        <f t="shared" si="2"/>
        <v>-985</v>
      </c>
      <c r="C21" s="354" t="str">
        <f t="shared" si="3"/>
        <v/>
      </c>
      <c r="D21" s="316">
        <f t="shared" si="4"/>
        <v>-985</v>
      </c>
      <c r="E21" s="100">
        <f t="shared" si="5"/>
        <v>11</v>
      </c>
      <c r="F21" s="99">
        <f t="shared" si="6"/>
        <v>15</v>
      </c>
      <c r="G21" s="101" t="str">
        <f t="shared" si="7"/>
        <v/>
      </c>
      <c r="H21" s="99">
        <f t="shared" si="8"/>
        <v>-985</v>
      </c>
      <c r="I21" s="102" t="str">
        <f t="shared" si="9"/>
        <v/>
      </c>
      <c r="J21" s="103">
        <f t="shared" si="10"/>
        <v>-985</v>
      </c>
      <c r="K21" s="70">
        <f t="shared" si="11"/>
        <v>14</v>
      </c>
      <c r="L21" s="121" t="s">
        <v>100</v>
      </c>
      <c r="M21" s="105"/>
      <c r="N21" s="106" t="str">
        <f>IF(M21="","m","")</f>
        <v>m</v>
      </c>
      <c r="O21" s="107"/>
      <c r="P21" s="108"/>
      <c r="Q21" s="109" t="s">
        <v>308</v>
      </c>
      <c r="R21" s="110">
        <f>(IF(COUNT(Z21,AA21,AB21,AC21,AD21,AE21,AF21,AG21,AH21,AI21)&lt;10,SUM(Z21,AA21,AB21,AC21,AD21,AE21,AF21,AG21,AH21,AI21),SUM(LARGE((Z21,AA21,AB21,AC21,AD21,AE21,AF21,AG21,AH21,AI21),{1;2;3;4;5;6;7;8;9}))))</f>
        <v>73</v>
      </c>
      <c r="S21" s="111" t="str">
        <f>INDEX(ETAPP!B$1:B$32,MATCH(COUNTIF(BI21:BR21,1),ETAPP!A$1:A$32,0))&amp;INDEX(ETAPP!B$1:B$32,MATCH(COUNTIF(BI21:BR21,2),ETAPP!A$1:A$32,0))&amp;INDEX(ETAPP!B$1:B$32,MATCH(COUNTIF(BI21:BR21,3),ETAPP!A$1:A$32,0))&amp;INDEX(ETAPP!B$1:B$32,MATCH(COUNTIF(BI21:BR21,4),ETAPP!A$1:A$32,0))&amp;INDEX(ETAPP!B$1:B$32,MATCH(COUNTIF(BI21:BR21,5),ETAPP!A$1:A$32,0))&amp;INDEX(ETAPP!B$1:B$32,MATCH(COUNTIF(BI21:BR21,6),ETAPP!A$1:A$32,0))&amp;INDEX(ETAPP!B$1:B$32,MATCH(COUNTIF(BI21:BR21,7),ETAPP!A$1:A$32,0))&amp;INDEX(ETAPP!B$1:B$32,MATCH(COUNTIF(BI21:BR21,8),ETAPP!A$1:A$32,0))&amp;INDEX(ETAPP!B$1:B$32,MATCH(COUNTIF(BI21:BR21,9),ETAPP!A$1:A$32,0))&amp;INDEX(ETAPP!B$1:B$32,MATCH(COUNTIF(BI21:BR21,10),ETAPP!A$1:A$32,0))&amp;INDEX(ETAPP!B$1:B$32,MATCH(COUNTIF(BI21:BR21,11),ETAPP!A$1:A$32,0))&amp;INDEX(ETAPP!B$1:B$32,MATCH(COUNTIF(BI21:BR21,12),ETAPP!A$1:A$32,0))&amp;INDEX(ETAPP!B$1:B$32,MATCH(COUNTIF(BI21:BR21,13),ETAPP!A$1:A$32,0))&amp;INDEX(ETAPP!B$1:B$32,MATCH(COUNTIF(BI21:BR21,14),ETAPP!A$1:A$32,0))&amp;INDEX(ETAPP!B$1:B$32,MATCH(COUNTIF(BI21:BR21,15),ETAPP!A$1:A$32,0))&amp;INDEX(ETAPP!B$1:B$32,MATCH(COUNTIF(BI21:BR21,16),ETAPP!A$1:A$32,0))&amp;INDEX(ETAPP!B$1:B$32,MATCH(COUNTIF(BI21:BR21,17),ETAPP!A$1:A$32,0))&amp;INDEX(ETAPP!B$1:B$32,MATCH(COUNTIF(BI21:BR21,18),ETAPP!A$1:A$32,0))&amp;INDEX(ETAPP!B$1:B$32,MATCH(COUNTIF(BI21:BR21,19),ETAPP!A$1:A$32,0))&amp;INDEX(ETAPP!B$1:B$32,MATCH(COUNTIF(BI21:BR21,20),ETAPP!A$1:A$32,0))&amp;INDEX(ETAPP!B$1:B$32,MATCH(COUNTIF(BI21:BR21,21),ETAPP!A$1:A$32,0))</f>
        <v>A0000AC00000000000000</v>
      </c>
      <c r="T21" s="111" t="str">
        <f t="shared" si="12"/>
        <v>073,0-A0000AC00000000000000</v>
      </c>
      <c r="U21" s="111">
        <f t="shared" si="13"/>
        <v>15</v>
      </c>
      <c r="V21" s="111">
        <f t="shared" si="14"/>
        <v>11</v>
      </c>
      <c r="W21" s="111" t="str">
        <f t="shared" si="15"/>
        <v>073,0-A0000AC00000000000000-011</v>
      </c>
      <c r="X21" s="111">
        <f t="shared" si="16"/>
        <v>15</v>
      </c>
      <c r="Y21" s="112">
        <f t="shared" si="17"/>
        <v>31</v>
      </c>
      <c r="Z21" s="113" t="str">
        <f>IFERROR(INDEX('V1'!C$300:C$400,MATCH("*"&amp;L21&amp;"*",'V1'!B$300:B$400,0)),"  ")</f>
        <v xml:space="preserve">  </v>
      </c>
      <c r="AA21" s="113">
        <f>IFERROR(INDEX('V2'!C$300:C$389,MATCH("*"&amp;L21&amp;"*",'V2'!B$300:B$389,0)),"  ")</f>
        <v>9</v>
      </c>
      <c r="AB21" s="113">
        <f>IFERROR(INDEX('V3'!C$300:C$399,MATCH("*"&amp;L21&amp;"*",'V3'!B$300:B$399,0)),"  ")</f>
        <v>14</v>
      </c>
      <c r="AC21" s="113" t="str">
        <f>IFERROR(INDEX('V4'!C$300:C$400,MATCH("*"&amp;L21&amp;"*",'V4'!B$300:B$400,0)),"  ")</f>
        <v xml:space="preserve">  </v>
      </c>
      <c r="AD21" s="113" t="str">
        <f>IFERROR(INDEX('V5'!C$300:C$400,MATCH("*"&amp;L21&amp;"*",'V5'!B$300:B$400,0)),"  ")</f>
        <v xml:space="preserve">  </v>
      </c>
      <c r="AE21" s="113" t="str">
        <f>IFERROR(INDEX('V6'!C$300:C$400,MATCH("*"&amp;L21&amp;"*",'V6'!B$300:B$400,0)),"  ")</f>
        <v xml:space="preserve">  </v>
      </c>
      <c r="AF21" s="113" t="str">
        <f>IFERROR(INDEX('V7'!C$300:C$400,MATCH("*"&amp;L21&amp;"*",'V7'!B$300:B$400,0)),"  ")</f>
        <v xml:space="preserve">  </v>
      </c>
      <c r="AG21" s="113">
        <f>IFERROR(INDEX('V8'!C$300:C$400,MATCH("*"&amp;L21&amp;"*",'V8'!B$300:B$400,0)),"  ")</f>
        <v>15</v>
      </c>
      <c r="AH21" s="113">
        <f>IFERROR(INDEX('V9'!C$300:C$400,MATCH("*"&amp;L21&amp;"*",'V9'!B$300:B$400,0)),"  ")</f>
        <v>26</v>
      </c>
      <c r="AI21" s="113">
        <f>IFERROR(INDEX('V10'!C$300:C$400,MATCH("*"&amp;L21&amp;"*",'V10'!B$300:B$400,0)),"  ")</f>
        <v>9</v>
      </c>
      <c r="AJ21" s="114">
        <f t="shared" si="18"/>
        <v>14</v>
      </c>
      <c r="AK21" s="346">
        <f t="shared" si="19"/>
        <v>73</v>
      </c>
      <c r="AL21" s="115" t="str">
        <f t="shared" si="20"/>
        <v>edasi 14</v>
      </c>
      <c r="AM21" s="116" t="str">
        <f>IFERROR(INDEX(#REF!,MATCH("*"&amp;L21&amp;"*",#REF!,0)),"  ")</f>
        <v xml:space="preserve">  </v>
      </c>
      <c r="AN21" s="117">
        <f t="shared" si="21"/>
        <v>5</v>
      </c>
      <c r="AO21" s="118">
        <f t="shared" si="22"/>
        <v>1</v>
      </c>
      <c r="AP21" s="118">
        <f t="shared" si="23"/>
        <v>1</v>
      </c>
      <c r="AQ21" s="122"/>
      <c r="AR21" s="1"/>
      <c r="AS21" s="1"/>
      <c r="AT21" s="119">
        <f t="shared" si="24"/>
        <v>1E-4</v>
      </c>
      <c r="AU21" s="120">
        <f t="shared" si="25"/>
        <v>1E-4</v>
      </c>
      <c r="AV21" s="120">
        <f t="shared" si="26"/>
        <v>9.0001999999999995</v>
      </c>
      <c r="AW21" s="120">
        <f t="shared" si="27"/>
        <v>14.000299999999999</v>
      </c>
      <c r="AX21" s="120">
        <f t="shared" si="28"/>
        <v>4.0000000000000002E-4</v>
      </c>
      <c r="AY21" s="120">
        <f t="shared" si="29"/>
        <v>5.0000000000000001E-4</v>
      </c>
      <c r="AZ21" s="120">
        <f t="shared" si="30"/>
        <v>5.9999999999999995E-4</v>
      </c>
      <c r="BA21" s="120">
        <f t="shared" si="31"/>
        <v>6.9999999999999999E-4</v>
      </c>
      <c r="BB21" s="120">
        <f t="shared" si="32"/>
        <v>15.0008</v>
      </c>
      <c r="BC21" s="120">
        <f t="shared" si="33"/>
        <v>26.000900000000001</v>
      </c>
      <c r="BD21" s="120">
        <f t="shared" si="34"/>
        <v>9.0009999999999994</v>
      </c>
      <c r="BE21" s="122"/>
      <c r="BI21" s="1" t="e">
        <f t="shared" si="35"/>
        <v>#VALUE!</v>
      </c>
      <c r="BJ21" s="1">
        <f t="shared" si="36"/>
        <v>7</v>
      </c>
      <c r="BK21" s="1">
        <f t="shared" si="37"/>
        <v>6</v>
      </c>
      <c r="BL21" s="1" t="e">
        <f t="shared" si="38"/>
        <v>#VALUE!</v>
      </c>
      <c r="BM21" s="1" t="e">
        <f t="shared" si="39"/>
        <v>#VALUE!</v>
      </c>
      <c r="BN21" s="1" t="e">
        <f t="shared" si="40"/>
        <v>#VALUE!</v>
      </c>
      <c r="BO21" s="1" t="e">
        <f t="shared" si="41"/>
        <v>#VALUE!</v>
      </c>
      <c r="BP21" s="1">
        <f t="shared" si="42"/>
        <v>7</v>
      </c>
      <c r="BQ21" s="1">
        <f t="shared" si="43"/>
        <v>1</v>
      </c>
      <c r="BR21" s="1">
        <f t="shared" si="44"/>
        <v>7</v>
      </c>
    </row>
    <row r="22" spans="1:70" x14ac:dyDescent="0.2">
      <c r="A22" s="719">
        <f t="shared" si="1"/>
        <v>13</v>
      </c>
      <c r="B22" s="99">
        <f t="shared" si="2"/>
        <v>16</v>
      </c>
      <c r="C22" s="354" t="str">
        <f t="shared" si="3"/>
        <v/>
      </c>
      <c r="D22" s="316">
        <f t="shared" si="4"/>
        <v>-984</v>
      </c>
      <c r="E22" s="100">
        <f t="shared" si="5"/>
        <v>13</v>
      </c>
      <c r="F22" s="99">
        <f t="shared" si="6"/>
        <v>16</v>
      </c>
      <c r="G22" s="101" t="str">
        <f t="shared" si="7"/>
        <v/>
      </c>
      <c r="H22" s="99">
        <f t="shared" si="8"/>
        <v>-984</v>
      </c>
      <c r="I22" s="102" t="str">
        <f t="shared" si="9"/>
        <v/>
      </c>
      <c r="J22" s="103">
        <f t="shared" si="10"/>
        <v>-984</v>
      </c>
      <c r="K22" s="70">
        <f t="shared" si="11"/>
        <v>16</v>
      </c>
      <c r="L22" s="121" t="s">
        <v>119</v>
      </c>
      <c r="M22" s="105"/>
      <c r="N22" s="106" t="s">
        <v>101</v>
      </c>
      <c r="O22" s="107"/>
      <c r="P22" s="108"/>
      <c r="Q22" s="109" t="s">
        <v>86</v>
      </c>
      <c r="R22" s="110">
        <f>(IF(COUNT(Z22,AA22,AB22,AC22,AD22,AE22,AF22,AG22,AH22,AI22)&lt;10,SUM(Z22,AA22,AB22,AC22,AD22,AE22,AF22,AG22,AH22,AI22),SUM(LARGE((Z22,AA22,AB22,AC22,AD22,AE22,AF22,AG22,AH22,AI22),{1;2;3;4;5;6;7;8;9}))))</f>
        <v>65</v>
      </c>
      <c r="S22" s="111" t="str">
        <f>INDEX(ETAPP!B$1:B$32,MATCH(COUNTIF(BI22:BR22,1),ETAPP!A$1:A$32,0))&amp;INDEX(ETAPP!B$1:B$32,MATCH(COUNTIF(BI22:BR22,2),ETAPP!A$1:A$32,0))&amp;INDEX(ETAPP!B$1:B$32,MATCH(COUNTIF(BI22:BR22,3),ETAPP!A$1:A$32,0))&amp;INDEX(ETAPP!B$1:B$32,MATCH(COUNTIF(BI22:BR22,4),ETAPP!A$1:A$32,0))&amp;INDEX(ETAPP!B$1:B$32,MATCH(COUNTIF(BI22:BR22,5),ETAPP!A$1:A$32,0))&amp;INDEX(ETAPP!B$1:B$32,MATCH(COUNTIF(BI22:BR22,6),ETAPP!A$1:A$32,0))&amp;INDEX(ETAPP!B$1:B$32,MATCH(COUNTIF(BI22:BR22,7),ETAPP!A$1:A$32,0))&amp;INDEX(ETAPP!B$1:B$32,MATCH(COUNTIF(BI22:BR22,8),ETAPP!A$1:A$32,0))&amp;INDEX(ETAPP!B$1:B$32,MATCH(COUNTIF(BI22:BR22,9),ETAPP!A$1:A$32,0))&amp;INDEX(ETAPP!B$1:B$32,MATCH(COUNTIF(BI22:BR22,10),ETAPP!A$1:A$32,0))&amp;INDEX(ETAPP!B$1:B$32,MATCH(COUNTIF(BI22:BR22,11),ETAPP!A$1:A$32,0))&amp;INDEX(ETAPP!B$1:B$32,MATCH(COUNTIF(BI22:BR22,12),ETAPP!A$1:A$32,0))&amp;INDEX(ETAPP!B$1:B$32,MATCH(COUNTIF(BI22:BR22,13),ETAPP!A$1:A$32,0))&amp;INDEX(ETAPP!B$1:B$32,MATCH(COUNTIF(BI22:BR22,14),ETAPP!A$1:A$32,0))&amp;INDEX(ETAPP!B$1:B$32,MATCH(COUNTIF(BI22:BR22,15),ETAPP!A$1:A$32,0))&amp;INDEX(ETAPP!B$1:B$32,MATCH(COUNTIF(BI22:BR22,16),ETAPP!A$1:A$32,0))&amp;INDEX(ETAPP!B$1:B$32,MATCH(COUNTIF(BI22:BR22,17),ETAPP!A$1:A$32,0))&amp;INDEX(ETAPP!B$1:B$32,MATCH(COUNTIF(BI22:BR22,18),ETAPP!A$1:A$32,0))&amp;INDEX(ETAPP!B$1:B$32,MATCH(COUNTIF(BI22:BR22,19),ETAPP!A$1:A$32,0))&amp;INDEX(ETAPP!B$1:B$32,MATCH(COUNTIF(BI22:BR22,20),ETAPP!A$1:A$32,0))&amp;INDEX(ETAPP!B$1:B$32,MATCH(COUNTIF(BI22:BR22,21),ETAPP!A$1:A$32,0))</f>
        <v>B00000A00000000000000</v>
      </c>
      <c r="T22" s="111" t="str">
        <f t="shared" si="12"/>
        <v>065,0-B00000A00000000000000</v>
      </c>
      <c r="U22" s="111">
        <f t="shared" si="13"/>
        <v>16</v>
      </c>
      <c r="V22" s="111">
        <f t="shared" si="14"/>
        <v>5</v>
      </c>
      <c r="W22" s="111" t="str">
        <f t="shared" si="15"/>
        <v>065,0-B00000A00000000000000-005</v>
      </c>
      <c r="X22" s="111">
        <f t="shared" si="16"/>
        <v>16</v>
      </c>
      <c r="Y22" s="112">
        <f t="shared" si="17"/>
        <v>30</v>
      </c>
      <c r="Z22" s="113" t="str">
        <f>IFERROR(INDEX('V1'!C$300:C$400,MATCH("*"&amp;L22&amp;"*",'V1'!B$300:B$400,0)),"  ")</f>
        <v xml:space="preserve">  </v>
      </c>
      <c r="AA22" s="113" t="str">
        <f>IFERROR(INDEX('V2'!C$300:C$389,MATCH("*"&amp;L22&amp;"*",'V2'!B$300:B$389,0)),"  ")</f>
        <v xml:space="preserve">  </v>
      </c>
      <c r="AB22" s="113">
        <f>IFERROR(INDEX('V3'!C$300:C$399,MATCH("*"&amp;L22&amp;"*",'V3'!B$300:B$399,0)),"  ")</f>
        <v>12</v>
      </c>
      <c r="AC22" s="113" t="str">
        <f>IFERROR(INDEX('V4'!C$300:C$400,MATCH("*"&amp;L22&amp;"*",'V4'!B$300:B$400,0)),"  ")</f>
        <v xml:space="preserve">  </v>
      </c>
      <c r="AD22" s="113" t="str">
        <f>IFERROR(INDEX('V5'!C$300:C$400,MATCH("*"&amp;L22&amp;"*",'V5'!B$300:B$400,0)),"  ")</f>
        <v xml:space="preserve">  </v>
      </c>
      <c r="AE22" s="113">
        <f>IFERROR(INDEX('V6'!C$300:C$400,MATCH("*"&amp;L22&amp;"*",'V6'!B$300:B$400,0)),"  ")</f>
        <v>26</v>
      </c>
      <c r="AF22" s="113" t="str">
        <f>IFERROR(INDEX('V7'!C$300:C$400,MATCH("*"&amp;L22&amp;"*",'V7'!B$300:B$400,0)),"  ")</f>
        <v xml:space="preserve">  </v>
      </c>
      <c r="AG22" s="113">
        <f>IFERROR(INDEX('V8'!C$300:C$400,MATCH("*"&amp;L22&amp;"*",'V8'!B$300:B$400,0)),"  ")</f>
        <v>27</v>
      </c>
      <c r="AH22" s="113" t="str">
        <f>IFERROR(INDEX('V9'!C$300:C$400,MATCH("*"&amp;L22&amp;"*",'V9'!B$300:B$400,0)),"  ")</f>
        <v xml:space="preserve">  </v>
      </c>
      <c r="AI22" s="113" t="str">
        <f>IFERROR(INDEX('V10'!C$300:C$400,MATCH("*"&amp;L22&amp;"*",'V10'!B$300:B$400,0)),"  ")</f>
        <v xml:space="preserve">  </v>
      </c>
      <c r="AJ22" s="114">
        <f t="shared" si="18"/>
        <v>16</v>
      </c>
      <c r="AK22" s="346">
        <f t="shared" si="19"/>
        <v>65</v>
      </c>
      <c r="AL22" s="115" t="str">
        <f t="shared" si="20"/>
        <v>edasi 16</v>
      </c>
      <c r="AM22" s="116" t="str">
        <f>IFERROR(INDEX(#REF!,MATCH("*"&amp;L22&amp;"*",#REF!,0)),"  ")</f>
        <v xml:space="preserve">  </v>
      </c>
      <c r="AN22" s="117">
        <f t="shared" si="21"/>
        <v>3</v>
      </c>
      <c r="AO22" s="118">
        <f t="shared" si="22"/>
        <v>2</v>
      </c>
      <c r="AP22" s="118">
        <f t="shared" si="23"/>
        <v>2</v>
      </c>
      <c r="AQ22" s="48"/>
      <c r="AR22" s="1"/>
      <c r="AS22" s="1"/>
      <c r="AT22" s="119">
        <f t="shared" si="24"/>
        <v>1E-4</v>
      </c>
      <c r="AU22" s="120">
        <f t="shared" si="25"/>
        <v>1E-4</v>
      </c>
      <c r="AV22" s="120">
        <f t="shared" si="26"/>
        <v>2.0000000000000001E-4</v>
      </c>
      <c r="AW22" s="120">
        <f t="shared" si="27"/>
        <v>12.000299999999999</v>
      </c>
      <c r="AX22" s="120">
        <f t="shared" si="28"/>
        <v>4.0000000000000002E-4</v>
      </c>
      <c r="AY22" s="120">
        <f t="shared" si="29"/>
        <v>5.0000000000000001E-4</v>
      </c>
      <c r="AZ22" s="120">
        <f t="shared" si="30"/>
        <v>26.000599999999999</v>
      </c>
      <c r="BA22" s="120">
        <f t="shared" si="31"/>
        <v>6.9999999999999999E-4</v>
      </c>
      <c r="BB22" s="120">
        <f t="shared" si="32"/>
        <v>27.000800000000002</v>
      </c>
      <c r="BC22" s="120">
        <f t="shared" si="33"/>
        <v>8.9999999999999998E-4</v>
      </c>
      <c r="BD22" s="120">
        <f t="shared" si="34"/>
        <v>1E-3</v>
      </c>
      <c r="BI22" s="1" t="e">
        <f t="shared" si="35"/>
        <v>#VALUE!</v>
      </c>
      <c r="BJ22" s="1" t="e">
        <f t="shared" si="36"/>
        <v>#VALUE!</v>
      </c>
      <c r="BK22" s="1">
        <f t="shared" si="37"/>
        <v>7</v>
      </c>
      <c r="BL22" s="1" t="e">
        <f t="shared" si="38"/>
        <v>#VALUE!</v>
      </c>
      <c r="BM22" s="1" t="e">
        <f t="shared" si="39"/>
        <v>#VALUE!</v>
      </c>
      <c r="BN22" s="1">
        <f t="shared" si="40"/>
        <v>1</v>
      </c>
      <c r="BO22" s="1" t="e">
        <f t="shared" si="41"/>
        <v>#VALUE!</v>
      </c>
      <c r="BP22" s="1">
        <f t="shared" si="42"/>
        <v>1</v>
      </c>
      <c r="BQ22" s="1" t="e">
        <f t="shared" si="43"/>
        <v>#VALUE!</v>
      </c>
      <c r="BR22" s="1" t="e">
        <f t="shared" si="44"/>
        <v>#VALUE!</v>
      </c>
    </row>
    <row r="23" spans="1:70" x14ac:dyDescent="0.2">
      <c r="A23" s="719">
        <f t="shared" si="1"/>
        <v>14</v>
      </c>
      <c r="B23" s="99">
        <f t="shared" si="2"/>
        <v>17</v>
      </c>
      <c r="C23" s="354" t="str">
        <f t="shared" si="3"/>
        <v/>
      </c>
      <c r="D23" s="316">
        <f t="shared" si="4"/>
        <v>-983</v>
      </c>
      <c r="E23" s="100" t="str">
        <f t="shared" si="5"/>
        <v/>
      </c>
      <c r="F23" s="99">
        <f t="shared" si="6"/>
        <v>-983</v>
      </c>
      <c r="G23" s="101">
        <f t="shared" si="7"/>
        <v>4</v>
      </c>
      <c r="H23" s="99">
        <f t="shared" si="8"/>
        <v>17</v>
      </c>
      <c r="I23" s="102" t="str">
        <f t="shared" si="9"/>
        <v/>
      </c>
      <c r="J23" s="103">
        <f t="shared" si="10"/>
        <v>-983</v>
      </c>
      <c r="K23" s="70">
        <f t="shared" si="11"/>
        <v>17</v>
      </c>
      <c r="L23" s="131" t="s">
        <v>117</v>
      </c>
      <c r="M23" s="105" t="s">
        <v>104</v>
      </c>
      <c r="N23" s="106" t="str">
        <f>IF(M23="","m","")</f>
        <v/>
      </c>
      <c r="O23" s="107"/>
      <c r="P23" s="108"/>
      <c r="Q23" s="109" t="s">
        <v>86</v>
      </c>
      <c r="R23" s="110">
        <f>(IF(COUNT(Z23,AA23,AB23,AC23,AD23,AE23,AF23,AG23,AH23,AI23)&lt;10,SUM(Z23,AA23,AB23,AC23,AD23,AE23,AF23,AG23,AH23,AI23),SUM(LARGE((Z23,AA23,AB23,AC23,AD23,AE23,AF23,AG23,AH23,AI23),{1;2;3;4;5;6;7;8;9}))))</f>
        <v>55</v>
      </c>
      <c r="S23" s="111" t="str">
        <f>INDEX(ETAPP!B$1:B$32,MATCH(COUNTIF(BI23:BR23,1),ETAPP!A$1:A$32,0))&amp;INDEX(ETAPP!B$1:B$32,MATCH(COUNTIF(BI23:BR23,2),ETAPP!A$1:A$32,0))&amp;INDEX(ETAPP!B$1:B$32,MATCH(COUNTIF(BI23:BR23,3),ETAPP!A$1:A$32,0))&amp;INDEX(ETAPP!B$1:B$32,MATCH(COUNTIF(BI23:BR23,4),ETAPP!A$1:A$32,0))&amp;INDEX(ETAPP!B$1:B$32,MATCH(COUNTIF(BI23:BR23,5),ETAPP!A$1:A$32,0))&amp;INDEX(ETAPP!B$1:B$32,MATCH(COUNTIF(BI23:BR23,6),ETAPP!A$1:A$32,0))&amp;INDEX(ETAPP!B$1:B$32,MATCH(COUNTIF(BI23:BR23,7),ETAPP!A$1:A$32,0))&amp;INDEX(ETAPP!B$1:B$32,MATCH(COUNTIF(BI23:BR23,8),ETAPP!A$1:A$32,0))&amp;INDEX(ETAPP!B$1:B$32,MATCH(COUNTIF(BI23:BR23,9),ETAPP!A$1:A$32,0))&amp;INDEX(ETAPP!B$1:B$32,MATCH(COUNTIF(BI23:BR23,10),ETAPP!A$1:A$32,0))&amp;INDEX(ETAPP!B$1:B$32,MATCH(COUNTIF(BI23:BR23,11),ETAPP!A$1:A$32,0))&amp;INDEX(ETAPP!B$1:B$32,MATCH(COUNTIF(BI23:BR23,12),ETAPP!A$1:A$32,0))&amp;INDEX(ETAPP!B$1:B$32,MATCH(COUNTIF(BI23:BR23,13),ETAPP!A$1:A$32,0))&amp;INDEX(ETAPP!B$1:B$32,MATCH(COUNTIF(BI23:BR23,14),ETAPP!A$1:A$32,0))&amp;INDEX(ETAPP!B$1:B$32,MATCH(COUNTIF(BI23:BR23,15),ETAPP!A$1:A$32,0))&amp;INDEX(ETAPP!B$1:B$32,MATCH(COUNTIF(BI23:BR23,16),ETAPP!A$1:A$32,0))&amp;INDEX(ETAPP!B$1:B$32,MATCH(COUNTIF(BI23:BR23,17),ETAPP!A$1:A$32,0))&amp;INDEX(ETAPP!B$1:B$32,MATCH(COUNTIF(BI23:BR23,18),ETAPP!A$1:A$32,0))&amp;INDEX(ETAPP!B$1:B$32,MATCH(COUNTIF(BI23:BR23,19),ETAPP!A$1:A$32,0))&amp;INDEX(ETAPP!B$1:B$32,MATCH(COUNTIF(BI23:BR23,20),ETAPP!A$1:A$32,0))&amp;INDEX(ETAPP!B$1:B$32,MATCH(COUNTIF(BI23:BR23,21),ETAPP!A$1:A$32,0))</f>
        <v>0A0000000A0AA00000000</v>
      </c>
      <c r="T23" s="111" t="str">
        <f t="shared" si="12"/>
        <v>055,0-0A0000000A0AA00000000</v>
      </c>
      <c r="U23" s="111">
        <f t="shared" si="13"/>
        <v>17</v>
      </c>
      <c r="V23" s="111">
        <f t="shared" si="14"/>
        <v>7</v>
      </c>
      <c r="W23" s="111" t="str">
        <f t="shared" si="15"/>
        <v>055,0-0A0000000A0AA00000000-007</v>
      </c>
      <c r="X23" s="111">
        <f t="shared" si="16"/>
        <v>17</v>
      </c>
      <c r="Y23" s="112">
        <f t="shared" si="17"/>
        <v>29</v>
      </c>
      <c r="Z23" s="113">
        <f>IFERROR(INDEX('V1'!C$300:C$400,MATCH("*"&amp;L23&amp;"*",'V1'!B$300:B$400,0)),"  ")</f>
        <v>14</v>
      </c>
      <c r="AA23" s="113">
        <f>IFERROR(INDEX('V2'!C$300:C$389,MATCH("*"&amp;L23&amp;"*",'V2'!B$300:B$389,0)),"  ")</f>
        <v>18</v>
      </c>
      <c r="AB23" s="113" t="str">
        <f>IFERROR(INDEX('V3'!C$300:C$399,MATCH("*"&amp;L23&amp;"*",'V3'!B$300:B$399,0)),"  ")</f>
        <v xml:space="preserve">  </v>
      </c>
      <c r="AC23" s="113">
        <f>IFERROR(INDEX('V4'!C$300:C$400,MATCH("*"&amp;L23&amp;"*",'V4'!B$300:B$400,0)),"  ")</f>
        <v>6</v>
      </c>
      <c r="AD23" s="113">
        <f>IFERROR(INDEX('V5'!C$300:C$400,MATCH("*"&amp;L23&amp;"*",'V5'!B$300:B$400,0)),"  ")</f>
        <v>2</v>
      </c>
      <c r="AE23" s="113">
        <f>IFERROR(INDEX('V6'!C$300:C$400,MATCH("*"&amp;L23&amp;"*",'V6'!B$300:B$400,0)),"  ")</f>
        <v>4</v>
      </c>
      <c r="AF23" s="113" t="str">
        <f>IFERROR(INDEX('V7'!C$300:C$400,MATCH("*"&amp;L23&amp;"*",'V7'!B$300:B$400,0)),"  ")</f>
        <v xml:space="preserve">  </v>
      </c>
      <c r="AG23" s="113">
        <f>IFERROR(INDEX('V8'!C$300:C$400,MATCH("*"&amp;L23&amp;"*",'V8'!B$300:B$400,0)),"  ")</f>
        <v>9</v>
      </c>
      <c r="AH23" s="113">
        <f>IFERROR(INDEX('V9'!C$300:C$400,MATCH("*"&amp;L23&amp;"*",'V9'!B$300:B$400,0)),"  ")</f>
        <v>2</v>
      </c>
      <c r="AI23" s="113" t="str">
        <f>IFERROR(INDEX('V10'!C$300:C$400,MATCH("*"&amp;L23&amp;"*",'V10'!B$300:B$400,0)),"  ")</f>
        <v xml:space="preserve">  </v>
      </c>
      <c r="AJ23" s="114">
        <f t="shared" si="18"/>
        <v>17</v>
      </c>
      <c r="AK23" s="346">
        <f t="shared" si="19"/>
        <v>55</v>
      </c>
      <c r="AL23" s="115" t="str">
        <f t="shared" si="20"/>
        <v>edasi 17</v>
      </c>
      <c r="AM23" s="116" t="str">
        <f>IFERROR(INDEX(#REF!,MATCH("*"&amp;L23&amp;"*",#REF!,0)),"  ")</f>
        <v xml:space="preserve">  </v>
      </c>
      <c r="AN23" s="117">
        <f t="shared" si="21"/>
        <v>7</v>
      </c>
      <c r="AO23" s="118">
        <f t="shared" si="22"/>
        <v>2</v>
      </c>
      <c r="AP23" s="118">
        <f t="shared" si="23"/>
        <v>0</v>
      </c>
      <c r="AQ23" s="122"/>
      <c r="AR23" s="122"/>
      <c r="AS23" s="122"/>
      <c r="AT23" s="119">
        <f t="shared" si="24"/>
        <v>2.9999999999999997E-4</v>
      </c>
      <c r="AU23" s="120">
        <f t="shared" si="25"/>
        <v>14.0001</v>
      </c>
      <c r="AV23" s="120">
        <f t="shared" si="26"/>
        <v>18.0002</v>
      </c>
      <c r="AW23" s="120">
        <f t="shared" si="27"/>
        <v>2.9999999999999997E-4</v>
      </c>
      <c r="AX23" s="120">
        <f t="shared" si="28"/>
        <v>6.0004</v>
      </c>
      <c r="AY23" s="120">
        <f t="shared" si="29"/>
        <v>2.0005000000000002</v>
      </c>
      <c r="AZ23" s="120">
        <f t="shared" si="30"/>
        <v>4.0006000000000004</v>
      </c>
      <c r="BA23" s="120">
        <f t="shared" si="31"/>
        <v>6.9999999999999999E-4</v>
      </c>
      <c r="BB23" s="120">
        <f t="shared" si="32"/>
        <v>9.0007999999999999</v>
      </c>
      <c r="BC23" s="120">
        <f t="shared" si="33"/>
        <v>2.0009000000000001</v>
      </c>
      <c r="BD23" s="120">
        <f t="shared" si="34"/>
        <v>1E-3</v>
      </c>
      <c r="BE23" s="122"/>
      <c r="BI23" s="1">
        <f t="shared" si="35"/>
        <v>2</v>
      </c>
      <c r="BJ23" s="1">
        <f t="shared" si="36"/>
        <v>2.5</v>
      </c>
      <c r="BK23" s="1" t="e">
        <f t="shared" si="37"/>
        <v>#VALUE!</v>
      </c>
      <c r="BL23" s="1">
        <f t="shared" si="38"/>
        <v>8.5</v>
      </c>
      <c r="BM23" s="1">
        <f t="shared" si="39"/>
        <v>10.5</v>
      </c>
      <c r="BN23" s="1">
        <f t="shared" si="40"/>
        <v>12</v>
      </c>
      <c r="BO23" s="1" t="e">
        <f t="shared" si="41"/>
        <v>#VALUE!</v>
      </c>
      <c r="BP23" s="1">
        <f t="shared" si="42"/>
        <v>10</v>
      </c>
      <c r="BQ23" s="1">
        <f t="shared" si="43"/>
        <v>13</v>
      </c>
      <c r="BR23" s="1" t="e">
        <f t="shared" si="44"/>
        <v>#VALUE!</v>
      </c>
    </row>
    <row r="24" spans="1:70" x14ac:dyDescent="0.2">
      <c r="A24" s="719" t="str">
        <f t="shared" si="1"/>
        <v/>
      </c>
      <c r="B24" s="99">
        <f t="shared" si="2"/>
        <v>-981</v>
      </c>
      <c r="C24" s="354" t="str">
        <f t="shared" si="3"/>
        <v/>
      </c>
      <c r="D24" s="316">
        <f t="shared" si="4"/>
        <v>-981</v>
      </c>
      <c r="E24" s="100">
        <f t="shared" si="5"/>
        <v>14</v>
      </c>
      <c r="F24" s="99">
        <f t="shared" si="6"/>
        <v>19</v>
      </c>
      <c r="G24" s="101" t="str">
        <f t="shared" si="7"/>
        <v/>
      </c>
      <c r="H24" s="99">
        <f t="shared" si="8"/>
        <v>-981</v>
      </c>
      <c r="I24" s="102" t="str">
        <f t="shared" si="9"/>
        <v/>
      </c>
      <c r="J24" s="103">
        <f t="shared" si="10"/>
        <v>-981</v>
      </c>
      <c r="K24" s="70">
        <f t="shared" si="11"/>
        <v>18</v>
      </c>
      <c r="L24" s="123" t="s">
        <v>107</v>
      </c>
      <c r="M24" s="105"/>
      <c r="N24" s="106" t="str">
        <f>IF(M24="","m","")</f>
        <v>m</v>
      </c>
      <c r="O24" s="107"/>
      <c r="P24" s="108"/>
      <c r="Q24" s="109" t="s">
        <v>308</v>
      </c>
      <c r="R24" s="110">
        <f>(IF(COUNT(Z24,AA24,AB24,AC24,AD24,AE24,AF24,AG24,AH24,AI24)&lt;10,SUM(Z24,AA24,AB24,AC24,AD24,AE24,AF24,AG24,AH24,AI24),SUM(LARGE((Z24,AA24,AB24,AC24,AD24,AE24,AF24,AG24,AH24,AI24),{1;2;3;4;5;6;7;8;9}))))</f>
        <v>53</v>
      </c>
      <c r="S24" s="111" t="str">
        <f>INDEX(ETAPP!B$1:B$32,MATCH(COUNTIF(BI24:BR24,1),ETAPP!A$1:A$32,0))&amp;INDEX(ETAPP!B$1:B$32,MATCH(COUNTIF(BI24:BR24,2),ETAPP!A$1:A$32,0))&amp;INDEX(ETAPP!B$1:B$32,MATCH(COUNTIF(BI24:BR24,3),ETAPP!A$1:A$32,0))&amp;INDEX(ETAPP!B$1:B$32,MATCH(COUNTIF(BI24:BR24,4),ETAPP!A$1:A$32,0))&amp;INDEX(ETAPP!B$1:B$32,MATCH(COUNTIF(BI24:BR24,5),ETAPP!A$1:A$32,0))&amp;INDEX(ETAPP!B$1:B$32,MATCH(COUNTIF(BI24:BR24,6),ETAPP!A$1:A$32,0))&amp;INDEX(ETAPP!B$1:B$32,MATCH(COUNTIF(BI24:BR24,7),ETAPP!A$1:A$32,0))&amp;INDEX(ETAPP!B$1:B$32,MATCH(COUNTIF(BI24:BR24,8),ETAPP!A$1:A$32,0))&amp;INDEX(ETAPP!B$1:B$32,MATCH(COUNTIF(BI24:BR24,9),ETAPP!A$1:A$32,0))&amp;INDEX(ETAPP!B$1:B$32,MATCH(COUNTIF(BI24:BR24,10),ETAPP!A$1:A$32,0))&amp;INDEX(ETAPP!B$1:B$32,MATCH(COUNTIF(BI24:BR24,11),ETAPP!A$1:A$32,0))&amp;INDEX(ETAPP!B$1:B$32,MATCH(COUNTIF(BI24:BR24,12),ETAPP!A$1:A$32,0))&amp;INDEX(ETAPP!B$1:B$32,MATCH(COUNTIF(BI24:BR24,13),ETAPP!A$1:A$32,0))&amp;INDEX(ETAPP!B$1:B$32,MATCH(COUNTIF(BI24:BR24,14),ETAPP!A$1:A$32,0))&amp;INDEX(ETAPP!B$1:B$32,MATCH(COUNTIF(BI24:BR24,15),ETAPP!A$1:A$32,0))&amp;INDEX(ETAPP!B$1:B$32,MATCH(COUNTIF(BI24:BR24,16),ETAPP!A$1:A$32,0))&amp;INDEX(ETAPP!B$1:B$32,MATCH(COUNTIF(BI24:BR24,17),ETAPP!A$1:A$32,0))&amp;INDEX(ETAPP!B$1:B$32,MATCH(COUNTIF(BI24:BR24,18),ETAPP!A$1:A$32,0))&amp;INDEX(ETAPP!B$1:B$32,MATCH(COUNTIF(BI24:BR24,19),ETAPP!A$1:A$32,0))&amp;INDEX(ETAPP!B$1:B$32,MATCH(COUNTIF(BI24:BR24,20),ETAPP!A$1:A$32,0))&amp;INDEX(ETAPP!B$1:B$32,MATCH(COUNTIF(BI24:BR24,21),ETAPP!A$1:A$32,0))</f>
        <v>00000A00CA00000000000</v>
      </c>
      <c r="T24" s="111" t="str">
        <f t="shared" si="12"/>
        <v>053,0-00000A00CA00000000000</v>
      </c>
      <c r="U24" s="111">
        <f t="shared" si="13"/>
        <v>19</v>
      </c>
      <c r="V24" s="111">
        <f t="shared" si="14"/>
        <v>20</v>
      </c>
      <c r="W24" s="111" t="str">
        <f t="shared" si="15"/>
        <v>053,0-00000A00CA00000000000-020</v>
      </c>
      <c r="X24" s="111">
        <f t="shared" si="16"/>
        <v>18</v>
      </c>
      <c r="Y24" s="112">
        <f t="shared" si="17"/>
        <v>28</v>
      </c>
      <c r="Z24" s="113">
        <f>IFERROR(INDEX('V1'!C$300:C$400,MATCH("*"&amp;L24&amp;"*",'V1'!B$300:B$400,0)),"  ")</f>
        <v>6</v>
      </c>
      <c r="AA24" s="113" t="str">
        <f>IFERROR(INDEX('V2'!C$300:C$389,MATCH("*"&amp;L24&amp;"*",'V2'!B$300:B$389,0)),"  ")</f>
        <v xml:space="preserve">  </v>
      </c>
      <c r="AB24" s="113">
        <f>IFERROR(INDEX('V3'!C$300:C$399,MATCH("*"&amp;L24&amp;"*",'V3'!B$300:B$399,0)),"  ")</f>
        <v>8</v>
      </c>
      <c r="AC24" s="113">
        <f>IFERROR(INDEX('V4'!C$300:C$400,MATCH("*"&amp;L24&amp;"*",'V4'!B$300:B$400,0)),"  ")</f>
        <v>3</v>
      </c>
      <c r="AD24" s="113">
        <f>IFERROR(INDEX('V5'!C$300:C$400,MATCH("*"&amp;L24&amp;"*",'V5'!B$300:B$400,0)),"  ")</f>
        <v>10</v>
      </c>
      <c r="AE24" s="113">
        <f>IFERROR(INDEX('V6'!C$300:C$400,MATCH("*"&amp;L24&amp;"*",'V6'!B$300:B$400,0)),"  ")</f>
        <v>10</v>
      </c>
      <c r="AF24" s="113" t="str">
        <f>IFERROR(INDEX('V7'!C$300:C$400,MATCH("*"&amp;L24&amp;"*",'V7'!B$300:B$400,0)),"  ")</f>
        <v xml:space="preserve">  </v>
      </c>
      <c r="AG24" s="113">
        <f>IFERROR(INDEX('V8'!C$300:C$400,MATCH("*"&amp;L24&amp;"*",'V8'!B$300:B$400,0)),"  ")</f>
        <v>6</v>
      </c>
      <c r="AH24" s="113">
        <f>IFERROR(INDEX('V9'!C$300:C$400,MATCH("*"&amp;L24&amp;"*",'V9'!B$300:B$400,0)),"  ")</f>
        <v>10</v>
      </c>
      <c r="AI24" s="113" t="str">
        <f>IFERROR(INDEX('V10'!C$300:C$400,MATCH("*"&amp;L24&amp;"*",'V10'!B$300:B$400,0)),"  ")</f>
        <v xml:space="preserve">  </v>
      </c>
      <c r="AJ24" s="114">
        <f t="shared" si="18"/>
        <v>18</v>
      </c>
      <c r="AK24" s="346">
        <f t="shared" si="19"/>
        <v>53</v>
      </c>
      <c r="AL24" s="115" t="str">
        <f t="shared" si="20"/>
        <v>edasi 18</v>
      </c>
      <c r="AM24" s="116" t="str">
        <f>IFERROR(INDEX(#REF!,MATCH("*"&amp;L24&amp;"*",#REF!,0)),"  ")</f>
        <v xml:space="preserve">  </v>
      </c>
      <c r="AN24" s="117">
        <f t="shared" si="21"/>
        <v>7</v>
      </c>
      <c r="AO24" s="118">
        <f t="shared" si="22"/>
        <v>0</v>
      </c>
      <c r="AP24" s="118">
        <f t="shared" si="23"/>
        <v>0</v>
      </c>
      <c r="AQ24" s="48"/>
      <c r="AR24" s="1"/>
      <c r="AS24" s="1"/>
      <c r="AT24" s="119">
        <f t="shared" si="24"/>
        <v>2.0000000000000001E-4</v>
      </c>
      <c r="AU24" s="120">
        <f t="shared" si="25"/>
        <v>6.0000999999999998</v>
      </c>
      <c r="AV24" s="120">
        <f t="shared" si="26"/>
        <v>2.0000000000000001E-4</v>
      </c>
      <c r="AW24" s="120">
        <f t="shared" si="27"/>
        <v>8.0002999999999993</v>
      </c>
      <c r="AX24" s="120">
        <f t="shared" si="28"/>
        <v>3.0004</v>
      </c>
      <c r="AY24" s="120">
        <f t="shared" si="29"/>
        <v>10.000500000000001</v>
      </c>
      <c r="AZ24" s="120">
        <f t="shared" si="30"/>
        <v>10.0006</v>
      </c>
      <c r="BA24" s="120">
        <f t="shared" si="31"/>
        <v>6.9999999999999999E-4</v>
      </c>
      <c r="BB24" s="120">
        <f t="shared" si="32"/>
        <v>6.0007999999999999</v>
      </c>
      <c r="BC24" s="120">
        <f t="shared" si="33"/>
        <v>10.0009</v>
      </c>
      <c r="BD24" s="120">
        <f t="shared" si="34"/>
        <v>1E-3</v>
      </c>
      <c r="BE24" s="122"/>
      <c r="BI24" s="1">
        <f t="shared" si="35"/>
        <v>6</v>
      </c>
      <c r="BJ24" s="1" t="e">
        <f t="shared" si="36"/>
        <v>#VALUE!</v>
      </c>
      <c r="BK24" s="1">
        <f t="shared" si="37"/>
        <v>9</v>
      </c>
      <c r="BL24" s="1">
        <f t="shared" si="38"/>
        <v>10</v>
      </c>
      <c r="BM24" s="1">
        <f t="shared" si="39"/>
        <v>6.5</v>
      </c>
      <c r="BN24" s="1">
        <f t="shared" si="40"/>
        <v>9</v>
      </c>
      <c r="BO24" s="1" t="e">
        <f t="shared" si="41"/>
        <v>#VALUE!</v>
      </c>
      <c r="BP24" s="1">
        <f t="shared" si="42"/>
        <v>11.5</v>
      </c>
      <c r="BQ24" s="1">
        <f t="shared" si="43"/>
        <v>9</v>
      </c>
      <c r="BR24" s="1" t="e">
        <f t="shared" si="44"/>
        <v>#VALUE!</v>
      </c>
    </row>
    <row r="25" spans="1:70" x14ac:dyDescent="0.2">
      <c r="A25" s="719" t="str">
        <f t="shared" si="1"/>
        <v/>
      </c>
      <c r="B25" s="99">
        <f t="shared" si="2"/>
        <v>-981</v>
      </c>
      <c r="C25" s="354" t="str">
        <f t="shared" si="3"/>
        <v/>
      </c>
      <c r="D25" s="316">
        <f t="shared" si="4"/>
        <v>-981</v>
      </c>
      <c r="E25" s="100">
        <f t="shared" si="5"/>
        <v>14</v>
      </c>
      <c r="F25" s="99">
        <f t="shared" si="6"/>
        <v>19</v>
      </c>
      <c r="G25" s="101" t="str">
        <f t="shared" si="7"/>
        <v/>
      </c>
      <c r="H25" s="99">
        <f t="shared" si="8"/>
        <v>-981</v>
      </c>
      <c r="I25" s="102" t="str">
        <f t="shared" si="9"/>
        <v/>
      </c>
      <c r="J25" s="103">
        <f t="shared" si="10"/>
        <v>-981</v>
      </c>
      <c r="K25" s="70">
        <f t="shared" si="11"/>
        <v>18</v>
      </c>
      <c r="L25" s="131" t="s">
        <v>112</v>
      </c>
      <c r="M25" s="105"/>
      <c r="N25" s="106" t="str">
        <f>IF(M25="","m","")</f>
        <v>m</v>
      </c>
      <c r="O25" s="107"/>
      <c r="P25" s="108"/>
      <c r="Q25" s="109" t="s">
        <v>308</v>
      </c>
      <c r="R25" s="110">
        <f>(IF(COUNT(Z25,AA25,AB25,AC25,AD25,AE25,AF25,AG25,AH25,AI25)&lt;10,SUM(Z25,AA25,AB25,AC25,AD25,AE25,AF25,AG25,AH25,AI25),SUM(LARGE((Z25,AA25,AB25,AC25,AD25,AE25,AF25,AG25,AH25,AI25),{1;2;3;4;5;6;7;8;9}))))</f>
        <v>53</v>
      </c>
      <c r="S25" s="111" t="str">
        <f>INDEX(ETAPP!B$1:B$32,MATCH(COUNTIF(BI25:BR25,1),ETAPP!A$1:A$32,0))&amp;INDEX(ETAPP!B$1:B$32,MATCH(COUNTIF(BI25:BR25,2),ETAPP!A$1:A$32,0))&amp;INDEX(ETAPP!B$1:B$32,MATCH(COUNTIF(BI25:BR25,3),ETAPP!A$1:A$32,0))&amp;INDEX(ETAPP!B$1:B$32,MATCH(COUNTIF(BI25:BR25,4),ETAPP!A$1:A$32,0))&amp;INDEX(ETAPP!B$1:B$32,MATCH(COUNTIF(BI25:BR25,5),ETAPP!A$1:A$32,0))&amp;INDEX(ETAPP!B$1:B$32,MATCH(COUNTIF(BI25:BR25,6),ETAPP!A$1:A$32,0))&amp;INDEX(ETAPP!B$1:B$32,MATCH(COUNTIF(BI25:BR25,7),ETAPP!A$1:A$32,0))&amp;INDEX(ETAPP!B$1:B$32,MATCH(COUNTIF(BI25:BR25,8),ETAPP!A$1:A$32,0))&amp;INDEX(ETAPP!B$1:B$32,MATCH(COUNTIF(BI25:BR25,9),ETAPP!A$1:A$32,0))&amp;INDEX(ETAPP!B$1:B$32,MATCH(COUNTIF(BI25:BR25,10),ETAPP!A$1:A$32,0))&amp;INDEX(ETAPP!B$1:B$32,MATCH(COUNTIF(BI25:BR25,11),ETAPP!A$1:A$32,0))&amp;INDEX(ETAPP!B$1:B$32,MATCH(COUNTIF(BI25:BR25,12),ETAPP!A$1:A$32,0))&amp;INDEX(ETAPP!B$1:B$32,MATCH(COUNTIF(BI25:BR25,13),ETAPP!A$1:A$32,0))&amp;INDEX(ETAPP!B$1:B$32,MATCH(COUNTIF(BI25:BR25,14),ETAPP!A$1:A$32,0))&amp;INDEX(ETAPP!B$1:B$32,MATCH(COUNTIF(BI25:BR25,15),ETAPP!A$1:A$32,0))&amp;INDEX(ETAPP!B$1:B$32,MATCH(COUNTIF(BI25:BR25,16),ETAPP!A$1:A$32,0))&amp;INDEX(ETAPP!B$1:B$32,MATCH(COUNTIF(BI25:BR25,17),ETAPP!A$1:A$32,0))&amp;INDEX(ETAPP!B$1:B$32,MATCH(COUNTIF(BI25:BR25,18),ETAPP!A$1:A$32,0))&amp;INDEX(ETAPP!B$1:B$32,MATCH(COUNTIF(BI25:BR25,19),ETAPP!A$1:A$32,0))&amp;INDEX(ETAPP!B$1:B$32,MATCH(COUNTIF(BI25:BR25,20),ETAPP!A$1:A$32,0))&amp;INDEX(ETAPP!B$1:B$32,MATCH(COUNTIF(BI25:BR25,21),ETAPP!A$1:A$32,0))</f>
        <v>00000A00CA00000000000</v>
      </c>
      <c r="T25" s="111" t="str">
        <f t="shared" si="12"/>
        <v>053,0-00000A00CA00000000000</v>
      </c>
      <c r="U25" s="111">
        <f t="shared" si="13"/>
        <v>19</v>
      </c>
      <c r="V25" s="111">
        <f t="shared" si="14"/>
        <v>4</v>
      </c>
      <c r="W25" s="111" t="str">
        <f t="shared" si="15"/>
        <v>053,0-00000A00CA00000000000-004</v>
      </c>
      <c r="X25" s="111">
        <f t="shared" si="16"/>
        <v>19</v>
      </c>
      <c r="Y25" s="112">
        <f t="shared" si="17"/>
        <v>27</v>
      </c>
      <c r="Z25" s="113">
        <f>IFERROR(INDEX('V1'!C$300:C$400,MATCH("*"&amp;L25&amp;"*",'V1'!B$300:B$400,0)),"  ")</f>
        <v>6</v>
      </c>
      <c r="AA25" s="113" t="str">
        <f>IFERROR(INDEX('V2'!C$300:C$389,MATCH("*"&amp;L25&amp;"*",'V2'!B$300:B$389,0)),"  ")</f>
        <v xml:space="preserve">  </v>
      </c>
      <c r="AB25" s="113">
        <f>IFERROR(INDEX('V3'!C$300:C$399,MATCH("*"&amp;L25&amp;"*",'V3'!B$300:B$399,0)),"  ")</f>
        <v>8</v>
      </c>
      <c r="AC25" s="113">
        <f>IFERROR(INDEX('V4'!C$300:C$400,MATCH("*"&amp;L25&amp;"*",'V4'!B$300:B$400,0)),"  ")</f>
        <v>3</v>
      </c>
      <c r="AD25" s="113">
        <f>IFERROR(INDEX('V5'!C$300:C$400,MATCH("*"&amp;L25&amp;"*",'V5'!B$300:B$400,0)),"  ")</f>
        <v>10</v>
      </c>
      <c r="AE25" s="113">
        <f>IFERROR(INDEX('V6'!C$300:C$400,MATCH("*"&amp;L25&amp;"*",'V6'!B$300:B$400,0)),"  ")</f>
        <v>10</v>
      </c>
      <c r="AF25" s="113" t="str">
        <f>IFERROR(INDEX('V7'!C$300:C$400,MATCH("*"&amp;L25&amp;"*",'V7'!B$300:B$400,0)),"  ")</f>
        <v xml:space="preserve">  </v>
      </c>
      <c r="AG25" s="113">
        <f>IFERROR(INDEX('V8'!C$300:C$400,MATCH("*"&amp;L25&amp;"*",'V8'!B$300:B$400,0)),"  ")</f>
        <v>6</v>
      </c>
      <c r="AH25" s="113">
        <f>IFERROR(INDEX('V9'!C$300:C$400,MATCH("*"&amp;L25&amp;"*",'V9'!B$300:B$400,0)),"  ")</f>
        <v>10</v>
      </c>
      <c r="AI25" s="113" t="str">
        <f>IFERROR(INDEX('V10'!C$300:C$400,MATCH("*"&amp;L25&amp;"*",'V10'!B$300:B$400,0)),"  ")</f>
        <v xml:space="preserve">  </v>
      </c>
      <c r="AJ25" s="114">
        <f t="shared" si="18"/>
        <v>18</v>
      </c>
      <c r="AK25" s="346">
        <f t="shared" si="19"/>
        <v>53</v>
      </c>
      <c r="AL25" s="115" t="str">
        <f t="shared" si="20"/>
        <v>edasi 18</v>
      </c>
      <c r="AM25" s="116" t="str">
        <f>IFERROR(INDEX(#REF!,MATCH("*"&amp;L25&amp;"*",#REF!,0)),"  ")</f>
        <v xml:space="preserve">  </v>
      </c>
      <c r="AN25" s="117">
        <f t="shared" si="21"/>
        <v>7</v>
      </c>
      <c r="AO25" s="118">
        <f t="shared" si="22"/>
        <v>0</v>
      </c>
      <c r="AP25" s="118">
        <f t="shared" si="23"/>
        <v>0</v>
      </c>
      <c r="AQ25" s="48"/>
      <c r="AT25" s="119">
        <f t="shared" si="24"/>
        <v>2.0000000000000001E-4</v>
      </c>
      <c r="AU25" s="120">
        <f t="shared" si="25"/>
        <v>6.0000999999999998</v>
      </c>
      <c r="AV25" s="120">
        <f t="shared" si="26"/>
        <v>2.0000000000000001E-4</v>
      </c>
      <c r="AW25" s="120">
        <f t="shared" si="27"/>
        <v>8.0002999999999993</v>
      </c>
      <c r="AX25" s="120">
        <f t="shared" si="28"/>
        <v>3.0004</v>
      </c>
      <c r="AY25" s="120">
        <f t="shared" si="29"/>
        <v>10.000500000000001</v>
      </c>
      <c r="AZ25" s="120">
        <f t="shared" si="30"/>
        <v>10.0006</v>
      </c>
      <c r="BA25" s="120">
        <f t="shared" si="31"/>
        <v>6.9999999999999999E-4</v>
      </c>
      <c r="BB25" s="120">
        <f t="shared" si="32"/>
        <v>6.0007999999999999</v>
      </c>
      <c r="BC25" s="120">
        <f t="shared" si="33"/>
        <v>10.0009</v>
      </c>
      <c r="BD25" s="120">
        <f t="shared" si="34"/>
        <v>1E-3</v>
      </c>
      <c r="BE25" s="122"/>
      <c r="BI25" s="1">
        <f t="shared" si="35"/>
        <v>6</v>
      </c>
      <c r="BJ25" s="1" t="e">
        <f t="shared" si="36"/>
        <v>#VALUE!</v>
      </c>
      <c r="BK25" s="1">
        <f t="shared" si="37"/>
        <v>9</v>
      </c>
      <c r="BL25" s="1">
        <f t="shared" si="38"/>
        <v>10</v>
      </c>
      <c r="BM25" s="1">
        <f t="shared" si="39"/>
        <v>6.5</v>
      </c>
      <c r="BN25" s="1">
        <f t="shared" si="40"/>
        <v>9</v>
      </c>
      <c r="BO25" s="1" t="e">
        <f t="shared" si="41"/>
        <v>#VALUE!</v>
      </c>
      <c r="BP25" s="1">
        <f t="shared" si="42"/>
        <v>11.5</v>
      </c>
      <c r="BQ25" s="1">
        <f t="shared" si="43"/>
        <v>9</v>
      </c>
      <c r="BR25" s="1" t="e">
        <f t="shared" si="44"/>
        <v>#VALUE!</v>
      </c>
    </row>
    <row r="26" spans="1:70" x14ac:dyDescent="0.2">
      <c r="A26" s="719">
        <f t="shared" si="1"/>
        <v>15</v>
      </c>
      <c r="B26" s="99">
        <f t="shared" si="2"/>
        <v>20</v>
      </c>
      <c r="C26" s="354" t="str">
        <f t="shared" si="3"/>
        <v/>
      </c>
      <c r="D26" s="316">
        <f t="shared" si="4"/>
        <v>-980</v>
      </c>
      <c r="E26" s="100">
        <f t="shared" si="5"/>
        <v>16</v>
      </c>
      <c r="F26" s="99">
        <f t="shared" si="6"/>
        <v>20</v>
      </c>
      <c r="G26" s="101" t="str">
        <f t="shared" si="7"/>
        <v/>
      </c>
      <c r="H26" s="99">
        <f t="shared" si="8"/>
        <v>-980</v>
      </c>
      <c r="I26" s="102" t="str">
        <f t="shared" si="9"/>
        <v/>
      </c>
      <c r="J26" s="103">
        <f t="shared" si="10"/>
        <v>-980</v>
      </c>
      <c r="K26" s="70">
        <f t="shared" si="11"/>
        <v>20</v>
      </c>
      <c r="L26" s="104" t="s">
        <v>125</v>
      </c>
      <c r="M26" s="105"/>
      <c r="N26" s="106" t="s">
        <v>101</v>
      </c>
      <c r="O26" s="107"/>
      <c r="P26" s="108"/>
      <c r="Q26" s="109" t="s">
        <v>86</v>
      </c>
      <c r="R26" s="110">
        <f>(IF(COUNT(Z26,AA26,AB26,AC26,AD26,AE26,AF26,AG26,AH26,AI26)&lt;10,SUM(Z26,AA26,AB26,AC26,AD26,AE26,AF26,AG26,AH26,AI26),SUM(LARGE((Z26,AA26,AB26,AC26,AD26,AE26,AF26,AG26,AH26,AI26),{1;2;3;4;5;6;7;8;9}))))</f>
        <v>52</v>
      </c>
      <c r="S26" s="111" t="str">
        <f>INDEX(ETAPP!B$1:B$32,MATCH(COUNTIF(BI26:BR26,1),ETAPP!A$1:A$32,0))&amp;INDEX(ETAPP!B$1:B$32,MATCH(COUNTIF(BI26:BR26,2),ETAPP!A$1:A$32,0))&amp;INDEX(ETAPP!B$1:B$32,MATCH(COUNTIF(BI26:BR26,3),ETAPP!A$1:A$32,0))&amp;INDEX(ETAPP!B$1:B$32,MATCH(COUNTIF(BI26:BR26,4),ETAPP!A$1:A$32,0))&amp;INDEX(ETAPP!B$1:B$32,MATCH(COUNTIF(BI26:BR26,5),ETAPP!A$1:A$32,0))&amp;INDEX(ETAPP!B$1:B$32,MATCH(COUNTIF(BI26:BR26,6),ETAPP!A$1:A$32,0))&amp;INDEX(ETAPP!B$1:B$32,MATCH(COUNTIF(BI26:BR26,7),ETAPP!A$1:A$32,0))&amp;INDEX(ETAPP!B$1:B$32,MATCH(COUNTIF(BI26:BR26,8),ETAPP!A$1:A$32,0))&amp;INDEX(ETAPP!B$1:B$32,MATCH(COUNTIF(BI26:BR26,9),ETAPP!A$1:A$32,0))&amp;INDEX(ETAPP!B$1:B$32,MATCH(COUNTIF(BI26:BR26,10),ETAPP!A$1:A$32,0))&amp;INDEX(ETAPP!B$1:B$32,MATCH(COUNTIF(BI26:BR26,11),ETAPP!A$1:A$32,0))&amp;INDEX(ETAPP!B$1:B$32,MATCH(COUNTIF(BI26:BR26,12),ETAPP!A$1:A$32,0))&amp;INDEX(ETAPP!B$1:B$32,MATCH(COUNTIF(BI26:BR26,13),ETAPP!A$1:A$32,0))&amp;INDEX(ETAPP!B$1:B$32,MATCH(COUNTIF(BI26:BR26,14),ETAPP!A$1:A$32,0))&amp;INDEX(ETAPP!B$1:B$32,MATCH(COUNTIF(BI26:BR26,15),ETAPP!A$1:A$32,0))&amp;INDEX(ETAPP!B$1:B$32,MATCH(COUNTIF(BI26:BR26,16),ETAPP!A$1:A$32,0))&amp;INDEX(ETAPP!B$1:B$32,MATCH(COUNTIF(BI26:BR26,17),ETAPP!A$1:A$32,0))&amp;INDEX(ETAPP!B$1:B$32,MATCH(COUNTIF(BI26:BR26,18),ETAPP!A$1:A$32,0))&amp;INDEX(ETAPP!B$1:B$32,MATCH(COUNTIF(BI26:BR26,19),ETAPP!A$1:A$32,0))&amp;INDEX(ETAPP!B$1:B$32,MATCH(COUNTIF(BI26:BR26,20),ETAPP!A$1:A$32,0))&amp;INDEX(ETAPP!B$1:B$32,MATCH(COUNTIF(BI26:BR26,21),ETAPP!A$1:A$32,0))</f>
        <v>000B00AA0A00000000000</v>
      </c>
      <c r="T26" s="111" t="str">
        <f t="shared" si="12"/>
        <v>052,0-000B00AA0A00000000000</v>
      </c>
      <c r="U26" s="111">
        <f t="shared" si="13"/>
        <v>20</v>
      </c>
      <c r="V26" s="111">
        <f t="shared" si="14"/>
        <v>41</v>
      </c>
      <c r="W26" s="111" t="str">
        <f t="shared" si="15"/>
        <v>052,0-000B00AA0A00000000000-041</v>
      </c>
      <c r="X26" s="111">
        <f t="shared" si="16"/>
        <v>20</v>
      </c>
      <c r="Y26" s="112">
        <f t="shared" si="17"/>
        <v>26</v>
      </c>
      <c r="Z26" s="113">
        <f>IFERROR(INDEX('V1'!C$300:C$400,MATCH("*"&amp;L26&amp;"*",'V1'!B$300:B$400,0)),"  ")</f>
        <v>2</v>
      </c>
      <c r="AA26" s="113" t="str">
        <f>IFERROR(INDEX('V2'!C$300:C$389,MATCH("*"&amp;L26&amp;"*",'V2'!B$300:B$389,0)),"  ")</f>
        <v xml:space="preserve">  </v>
      </c>
      <c r="AB26" s="113" t="str">
        <f>IFERROR(INDEX('V3'!C$300:C$399,MATCH("*"&amp;L26&amp;"*",'V3'!B$300:B$399,0)),"  ")</f>
        <v xml:space="preserve">  </v>
      </c>
      <c r="AC26" s="113" t="str">
        <f>IFERROR(INDEX('V4'!C$300:C$400,MATCH("*"&amp;L26&amp;"*",'V4'!B$300:B$400,0)),"  ")</f>
        <v xml:space="preserve">  </v>
      </c>
      <c r="AD26" s="113" t="str">
        <f>IFERROR(INDEX('V5'!C$300:C$400,MATCH("*"&amp;L26&amp;"*",'V5'!B$300:B$400,0)),"  ")</f>
        <v xml:space="preserve">  </v>
      </c>
      <c r="AE26" s="113" t="str">
        <f>IFERROR(INDEX('V6'!C$300:C$400,MATCH("*"&amp;L26&amp;"*",'V6'!B$300:B$400,0)),"  ")</f>
        <v xml:space="preserve">  </v>
      </c>
      <c r="AF26" s="113">
        <f>IFERROR(INDEX('V7'!C$300:C$400,MATCH("*"&amp;L26&amp;"*",'V7'!B$300:B$400,0)),"  ")</f>
        <v>6</v>
      </c>
      <c r="AG26" s="113">
        <f>IFERROR(INDEX('V8'!C$300:C$400,MATCH("*"&amp;L26&amp;"*",'V8'!B$300:B$400,0)),"  ")</f>
        <v>21</v>
      </c>
      <c r="AH26" s="113">
        <f>IFERROR(INDEX('V9'!C$300:C$400,MATCH("*"&amp;L26&amp;"*",'V9'!B$300:B$400,0)),"  ")</f>
        <v>20</v>
      </c>
      <c r="AI26" s="113">
        <f>IFERROR(INDEX('V10'!C$300:C$400,MATCH("*"&amp;L26&amp;"*",'V10'!B$300:B$400,0)),"  ")</f>
        <v>3</v>
      </c>
      <c r="AJ26" s="114">
        <f t="shared" si="18"/>
        <v>20</v>
      </c>
      <c r="AK26" s="346">
        <f t="shared" si="19"/>
        <v>52</v>
      </c>
      <c r="AL26" s="115" t="str">
        <f t="shared" si="20"/>
        <v>edasi 20</v>
      </c>
      <c r="AM26" s="116" t="str">
        <f>IFERROR(INDEX(#REF!,MATCH("*"&amp;L26&amp;"*",#REF!,0)),"  ")</f>
        <v xml:space="preserve">  </v>
      </c>
      <c r="AN26" s="117">
        <f t="shared" si="21"/>
        <v>5</v>
      </c>
      <c r="AO26" s="118">
        <f t="shared" si="22"/>
        <v>1</v>
      </c>
      <c r="AP26" s="118">
        <f t="shared" si="23"/>
        <v>0</v>
      </c>
      <c r="AQ26" s="48"/>
      <c r="AT26" s="119">
        <f t="shared" si="24"/>
        <v>2.0000000000000001E-4</v>
      </c>
      <c r="AU26" s="120">
        <f t="shared" si="25"/>
        <v>2.0001000000000002</v>
      </c>
      <c r="AV26" s="120">
        <f t="shared" si="26"/>
        <v>2.0000000000000001E-4</v>
      </c>
      <c r="AW26" s="120">
        <f t="shared" si="27"/>
        <v>2.9999999999999997E-4</v>
      </c>
      <c r="AX26" s="120">
        <f t="shared" si="28"/>
        <v>4.0000000000000002E-4</v>
      </c>
      <c r="AY26" s="120">
        <f t="shared" si="29"/>
        <v>5.0000000000000001E-4</v>
      </c>
      <c r="AZ26" s="120">
        <f t="shared" si="30"/>
        <v>5.9999999999999995E-4</v>
      </c>
      <c r="BA26" s="120">
        <f t="shared" si="31"/>
        <v>6.0007000000000001</v>
      </c>
      <c r="BB26" s="120">
        <f t="shared" si="32"/>
        <v>21.000800000000002</v>
      </c>
      <c r="BC26" s="120">
        <f t="shared" si="33"/>
        <v>20.000900000000001</v>
      </c>
      <c r="BD26" s="120">
        <f t="shared" si="34"/>
        <v>3.0009999999999999</v>
      </c>
      <c r="BI26" s="1">
        <f t="shared" si="35"/>
        <v>8</v>
      </c>
      <c r="BJ26" s="1" t="e">
        <f t="shared" si="36"/>
        <v>#VALUE!</v>
      </c>
      <c r="BK26" s="1" t="e">
        <f t="shared" si="37"/>
        <v>#VALUE!</v>
      </c>
      <c r="BL26" s="1" t="e">
        <f t="shared" si="38"/>
        <v>#VALUE!</v>
      </c>
      <c r="BM26" s="1" t="e">
        <f t="shared" si="39"/>
        <v>#VALUE!</v>
      </c>
      <c r="BN26" s="1" t="e">
        <f t="shared" si="40"/>
        <v>#VALUE!</v>
      </c>
      <c r="BO26" s="1">
        <f t="shared" si="41"/>
        <v>7</v>
      </c>
      <c r="BP26" s="1">
        <f t="shared" si="42"/>
        <v>4</v>
      </c>
      <c r="BQ26" s="1">
        <f t="shared" si="43"/>
        <v>4</v>
      </c>
      <c r="BR26" s="1">
        <f t="shared" si="44"/>
        <v>10</v>
      </c>
    </row>
    <row r="27" spans="1:70" x14ac:dyDescent="0.2">
      <c r="A27" s="719">
        <f t="shared" si="1"/>
        <v>16</v>
      </c>
      <c r="B27" s="99">
        <f t="shared" si="2"/>
        <v>21</v>
      </c>
      <c r="C27" s="354">
        <f t="shared" si="3"/>
        <v>8</v>
      </c>
      <c r="D27" s="316">
        <f t="shared" si="4"/>
        <v>21</v>
      </c>
      <c r="E27" s="100">
        <f t="shared" si="5"/>
        <v>17</v>
      </c>
      <c r="F27" s="99">
        <f t="shared" si="6"/>
        <v>21</v>
      </c>
      <c r="G27" s="101" t="str">
        <f t="shared" si="7"/>
        <v/>
      </c>
      <c r="H27" s="99">
        <f t="shared" si="8"/>
        <v>-979</v>
      </c>
      <c r="I27" s="102">
        <f t="shared" si="9"/>
        <v>2</v>
      </c>
      <c r="J27" s="103">
        <f t="shared" si="10"/>
        <v>21</v>
      </c>
      <c r="K27" s="70">
        <f t="shared" si="11"/>
        <v>21</v>
      </c>
      <c r="L27" s="121" t="s">
        <v>237</v>
      </c>
      <c r="M27" s="105"/>
      <c r="N27" s="106" t="s">
        <v>101</v>
      </c>
      <c r="O27" s="138" t="s">
        <v>111</v>
      </c>
      <c r="P27" s="108" t="s">
        <v>233</v>
      </c>
      <c r="Q27" s="109" t="s">
        <v>86</v>
      </c>
      <c r="R27" s="110">
        <f>(IF(COUNT(Z27,AA27,AB27,AC27,AD27,AE27,AF27,AG27,AH27,AI27)&lt;10,SUM(Z27,AA27,AB27,AC27,AD27,AE27,AF27,AG27,AH27,AI27),SUM(LARGE((Z27,AA27,AB27,AC27,AD27,AE27,AF27,AG27,AH27,AI27),{1;2;3;4;5;6;7;8;9}))))</f>
        <v>52</v>
      </c>
      <c r="S27" s="111" t="str">
        <f>INDEX(ETAPP!B$1:B$32,MATCH(COUNTIF(BI27:BR27,1),ETAPP!A$1:A$32,0))&amp;INDEX(ETAPP!B$1:B$32,MATCH(COUNTIF(BI27:BR27,2),ETAPP!A$1:A$32,0))&amp;INDEX(ETAPP!B$1:B$32,MATCH(COUNTIF(BI27:BR27,3),ETAPP!A$1:A$32,0))&amp;INDEX(ETAPP!B$1:B$32,MATCH(COUNTIF(BI27:BR27,4),ETAPP!A$1:A$32,0))&amp;INDEX(ETAPP!B$1:B$32,MATCH(COUNTIF(BI27:BR27,5),ETAPP!A$1:A$32,0))&amp;INDEX(ETAPP!B$1:B$32,MATCH(COUNTIF(BI27:BR27,6),ETAPP!A$1:A$32,0))&amp;INDEX(ETAPP!B$1:B$32,MATCH(COUNTIF(BI27:BR27,7),ETAPP!A$1:A$32,0))&amp;INDEX(ETAPP!B$1:B$32,MATCH(COUNTIF(BI27:BR27,8),ETAPP!A$1:A$32,0))&amp;INDEX(ETAPP!B$1:B$32,MATCH(COUNTIF(BI27:BR27,9),ETAPP!A$1:A$32,0))&amp;INDEX(ETAPP!B$1:B$32,MATCH(COUNTIF(BI27:BR27,10),ETAPP!A$1:A$32,0))&amp;INDEX(ETAPP!B$1:B$32,MATCH(COUNTIF(BI27:BR27,11),ETAPP!A$1:A$32,0))&amp;INDEX(ETAPP!B$1:B$32,MATCH(COUNTIF(BI27:BR27,12),ETAPP!A$1:A$32,0))&amp;INDEX(ETAPP!B$1:B$32,MATCH(COUNTIF(BI27:BR27,13),ETAPP!A$1:A$32,0))&amp;INDEX(ETAPP!B$1:B$32,MATCH(COUNTIF(BI27:BR27,14),ETAPP!A$1:A$32,0))&amp;INDEX(ETAPP!B$1:B$32,MATCH(COUNTIF(BI27:BR27,15),ETAPP!A$1:A$32,0))&amp;INDEX(ETAPP!B$1:B$32,MATCH(COUNTIF(BI27:BR27,16),ETAPP!A$1:A$32,0))&amp;INDEX(ETAPP!B$1:B$32,MATCH(COUNTIF(BI27:BR27,17),ETAPP!A$1:A$32,0))&amp;INDEX(ETAPP!B$1:B$32,MATCH(COUNTIF(BI27:BR27,18),ETAPP!A$1:A$32,0))&amp;INDEX(ETAPP!B$1:B$32,MATCH(COUNTIF(BI27:BR27,19),ETAPP!A$1:A$32,0))&amp;INDEX(ETAPP!B$1:B$32,MATCH(COUNTIF(BI27:BR27,20),ETAPP!A$1:A$32,0))&amp;INDEX(ETAPP!B$1:B$32,MATCH(COUNTIF(BI27:BR27,21),ETAPP!A$1:A$32,0))</f>
        <v>000000B00A00000000000</v>
      </c>
      <c r="T27" s="111" t="str">
        <f t="shared" si="12"/>
        <v>052,0-000000B00A00000000000</v>
      </c>
      <c r="U27" s="111">
        <f t="shared" si="13"/>
        <v>21</v>
      </c>
      <c r="V27" s="111">
        <f t="shared" si="14"/>
        <v>12</v>
      </c>
      <c r="W27" s="111" t="str">
        <f t="shared" si="15"/>
        <v>052,0-000000B00A00000000000-012</v>
      </c>
      <c r="X27" s="111">
        <f t="shared" si="16"/>
        <v>21</v>
      </c>
      <c r="Y27" s="112">
        <f t="shared" si="17"/>
        <v>25</v>
      </c>
      <c r="Z27" s="113" t="str">
        <f>IFERROR(INDEX('V1'!C$300:C$400,MATCH("*"&amp;L27&amp;"*",'V1'!B$300:B$400,0)),"  ")</f>
        <v xml:space="preserve">  </v>
      </c>
      <c r="AA27" s="113" t="str">
        <f>IFERROR(INDEX('V2'!C$300:C$389,MATCH("*"&amp;L27&amp;"*",'V2'!B$300:B$389,0)),"  ")</f>
        <v xml:space="preserve">  </v>
      </c>
      <c r="AB27" s="113">
        <f>IFERROR(INDEX('V3'!C$300:C$399,MATCH("*"&amp;L27&amp;"*",'V3'!B$300:B$399,0)),"  ")</f>
        <v>12</v>
      </c>
      <c r="AC27" s="113" t="str">
        <f>IFERROR(INDEX('V4'!C$300:C$400,MATCH("*"&amp;L27&amp;"*",'V4'!B$300:B$400,0)),"  ")</f>
        <v xml:space="preserve">  </v>
      </c>
      <c r="AD27" s="113" t="str">
        <f>IFERROR(INDEX('V5'!C$300:C$400,MATCH("*"&amp;L27&amp;"*",'V5'!B$300:B$400,0)),"  ")</f>
        <v xml:space="preserve">  </v>
      </c>
      <c r="AE27" s="113">
        <f>IFERROR(INDEX('V6'!C$300:C$400,MATCH("*"&amp;L27&amp;"*",'V6'!B$300:B$400,0)),"  ")</f>
        <v>14</v>
      </c>
      <c r="AF27" s="113" t="str">
        <f>IFERROR(INDEX('V7'!C$300:C$400,MATCH("*"&amp;L27&amp;"*",'V7'!B$300:B$400,0)),"  ")</f>
        <v xml:space="preserve">  </v>
      </c>
      <c r="AG27" s="113" t="str">
        <f>IFERROR(INDEX('V8'!C$300:C$400,MATCH("*"&amp;L27&amp;"*",'V8'!B$300:B$400,0)),"  ")</f>
        <v xml:space="preserve">  </v>
      </c>
      <c r="AH27" s="113">
        <f>IFERROR(INDEX('V9'!C$300:C$400,MATCH("*"&amp;L27&amp;"*",'V9'!B$300:B$400,0)),"  ")</f>
        <v>8</v>
      </c>
      <c r="AI27" s="113">
        <f>IFERROR(INDEX('V10'!C$300:C$400,MATCH("*"&amp;L27&amp;"*",'V10'!B$300:B$400,0)),"  ")</f>
        <v>18</v>
      </c>
      <c r="AJ27" s="114">
        <f t="shared" si="18"/>
        <v>21</v>
      </c>
      <c r="AK27" s="346">
        <f t="shared" si="19"/>
        <v>52</v>
      </c>
      <c r="AL27" s="115" t="str">
        <f t="shared" si="20"/>
        <v>edasi 21</v>
      </c>
      <c r="AM27" s="116" t="str">
        <f>IFERROR(INDEX(#REF!,MATCH("*"&amp;L27&amp;"*",#REF!,0)),"  ")</f>
        <v xml:space="preserve">  </v>
      </c>
      <c r="AN27" s="117">
        <f t="shared" si="21"/>
        <v>4</v>
      </c>
      <c r="AO27" s="118">
        <f t="shared" si="22"/>
        <v>1</v>
      </c>
      <c r="AP27" s="118">
        <f t="shared" si="23"/>
        <v>0</v>
      </c>
      <c r="AQ27" s="48"/>
      <c r="AR27" s="1"/>
      <c r="AS27" s="1"/>
      <c r="AT27" s="119">
        <f t="shared" si="24"/>
        <v>1E-4</v>
      </c>
      <c r="AU27" s="120">
        <f t="shared" si="25"/>
        <v>1E-4</v>
      </c>
      <c r="AV27" s="120">
        <f t="shared" si="26"/>
        <v>2.0000000000000001E-4</v>
      </c>
      <c r="AW27" s="120">
        <f t="shared" si="27"/>
        <v>12.000299999999999</v>
      </c>
      <c r="AX27" s="120">
        <f t="shared" si="28"/>
        <v>4.0000000000000002E-4</v>
      </c>
      <c r="AY27" s="120">
        <f t="shared" si="29"/>
        <v>5.0000000000000001E-4</v>
      </c>
      <c r="AZ27" s="120">
        <f t="shared" si="30"/>
        <v>14.0006</v>
      </c>
      <c r="BA27" s="120">
        <f t="shared" si="31"/>
        <v>6.9999999999999999E-4</v>
      </c>
      <c r="BB27" s="120">
        <f t="shared" si="32"/>
        <v>8.0000000000000004E-4</v>
      </c>
      <c r="BC27" s="120">
        <f t="shared" si="33"/>
        <v>8.0008999999999997</v>
      </c>
      <c r="BD27" s="120">
        <f t="shared" si="34"/>
        <v>18.001000000000001</v>
      </c>
      <c r="BI27" s="1" t="e">
        <f t="shared" si="35"/>
        <v>#VALUE!</v>
      </c>
      <c r="BJ27" s="1" t="e">
        <f t="shared" si="36"/>
        <v>#VALUE!</v>
      </c>
      <c r="BK27" s="1">
        <f t="shared" si="37"/>
        <v>7</v>
      </c>
      <c r="BL27" s="1" t="e">
        <f t="shared" si="38"/>
        <v>#VALUE!</v>
      </c>
      <c r="BM27" s="1" t="e">
        <f t="shared" si="39"/>
        <v>#VALUE!</v>
      </c>
      <c r="BN27" s="1">
        <f t="shared" si="40"/>
        <v>7</v>
      </c>
      <c r="BO27" s="1" t="e">
        <f t="shared" si="41"/>
        <v>#VALUE!</v>
      </c>
      <c r="BP27" s="1" t="e">
        <f t="shared" si="42"/>
        <v>#VALUE!</v>
      </c>
      <c r="BQ27" s="1">
        <f t="shared" si="43"/>
        <v>10</v>
      </c>
      <c r="BR27" s="1">
        <f t="shared" si="44"/>
        <v>2.5</v>
      </c>
    </row>
    <row r="28" spans="1:70" x14ac:dyDescent="0.2">
      <c r="A28" s="719">
        <f t="shared" si="1"/>
        <v>17</v>
      </c>
      <c r="B28" s="99">
        <f t="shared" si="2"/>
        <v>22</v>
      </c>
      <c r="C28" s="354">
        <f t="shared" si="3"/>
        <v>9</v>
      </c>
      <c r="D28" s="316">
        <f t="shared" si="4"/>
        <v>22</v>
      </c>
      <c r="E28" s="100">
        <f t="shared" si="5"/>
        <v>18</v>
      </c>
      <c r="F28" s="99">
        <f t="shared" si="6"/>
        <v>22</v>
      </c>
      <c r="G28" s="101" t="str">
        <f t="shared" si="7"/>
        <v/>
      </c>
      <c r="H28" s="99">
        <f t="shared" si="8"/>
        <v>-978</v>
      </c>
      <c r="I28" s="102" t="str">
        <f t="shared" si="9"/>
        <v/>
      </c>
      <c r="J28" s="103">
        <f t="shared" si="10"/>
        <v>-978</v>
      </c>
      <c r="K28" s="70">
        <f t="shared" si="11"/>
        <v>22</v>
      </c>
      <c r="L28" s="131" t="s">
        <v>126</v>
      </c>
      <c r="M28" s="105"/>
      <c r="N28" s="106" t="str">
        <f t="shared" ref="N28:N37" si="45">IF(M28="","m","")</f>
        <v>m</v>
      </c>
      <c r="O28" s="107"/>
      <c r="P28" s="108" t="s">
        <v>233</v>
      </c>
      <c r="Q28" s="109" t="s">
        <v>86</v>
      </c>
      <c r="R28" s="110">
        <f>(IF(COUNT(Z28,AA28,AB28,AC28,AD28,AE28,AF28,AG28,AH28,AI28)&lt;10,SUM(Z28,AA28,AB28,AC28,AD28,AE28,AF28,AG28,AH28,AI28),SUM(LARGE((Z28,AA28,AB28,AC28,AD28,AE28,AF28,AG28,AH28,AI28),{1;2;3;4;5;6;7;8;9}))))</f>
        <v>51</v>
      </c>
      <c r="S28" s="111" t="str">
        <f>INDEX(ETAPP!B$1:B$32,MATCH(COUNTIF(BI28:BR28,1),ETAPP!A$1:A$32,0))&amp;INDEX(ETAPP!B$1:B$32,MATCH(COUNTIF(BI28:BR28,2),ETAPP!A$1:A$32,0))&amp;INDEX(ETAPP!B$1:B$32,MATCH(COUNTIF(BI28:BR28,3),ETAPP!A$1:A$32,0))&amp;INDEX(ETAPP!B$1:B$32,MATCH(COUNTIF(BI28:BR28,4),ETAPP!A$1:A$32,0))&amp;INDEX(ETAPP!B$1:B$32,MATCH(COUNTIF(BI28:BR28,5),ETAPP!A$1:A$32,0))&amp;INDEX(ETAPP!B$1:B$32,MATCH(COUNTIF(BI28:BR28,6),ETAPP!A$1:A$32,0))&amp;INDEX(ETAPP!B$1:B$32,MATCH(COUNTIF(BI28:BR28,7),ETAPP!A$1:A$32,0))&amp;INDEX(ETAPP!B$1:B$32,MATCH(COUNTIF(BI28:BR28,8),ETAPP!A$1:A$32,0))&amp;INDEX(ETAPP!B$1:B$32,MATCH(COUNTIF(BI28:BR28,9),ETAPP!A$1:A$32,0))&amp;INDEX(ETAPP!B$1:B$32,MATCH(COUNTIF(BI28:BR28,10),ETAPP!A$1:A$32,0))&amp;INDEX(ETAPP!B$1:B$32,MATCH(COUNTIF(BI28:BR28,11),ETAPP!A$1:A$32,0))&amp;INDEX(ETAPP!B$1:B$32,MATCH(COUNTIF(BI28:BR28,12),ETAPP!A$1:A$32,0))&amp;INDEX(ETAPP!B$1:B$32,MATCH(COUNTIF(BI28:BR28,13),ETAPP!A$1:A$32,0))&amp;INDEX(ETAPP!B$1:B$32,MATCH(COUNTIF(BI28:BR28,14),ETAPP!A$1:A$32,0))&amp;INDEX(ETAPP!B$1:B$32,MATCH(COUNTIF(BI28:BR28,15),ETAPP!A$1:A$32,0))&amp;INDEX(ETAPP!B$1:B$32,MATCH(COUNTIF(BI28:BR28,16),ETAPP!A$1:A$32,0))&amp;INDEX(ETAPP!B$1:B$32,MATCH(COUNTIF(BI28:BR28,17),ETAPP!A$1:A$32,0))&amp;INDEX(ETAPP!B$1:B$32,MATCH(COUNTIF(BI28:BR28,18),ETAPP!A$1:A$32,0))&amp;INDEX(ETAPP!B$1:B$32,MATCH(COUNTIF(BI28:BR28,19),ETAPP!A$1:A$32,0))&amp;INDEX(ETAPP!B$1:B$32,MATCH(COUNTIF(BI28:BR28,20),ETAPP!A$1:A$32,0))&amp;INDEX(ETAPP!B$1:B$32,MATCH(COUNTIF(BI28:BR28,21),ETAPP!A$1:A$32,0))</f>
        <v>A000A0000000A00000000</v>
      </c>
      <c r="T28" s="111" t="str">
        <f t="shared" si="12"/>
        <v>051,0-A000A0000000A00000000</v>
      </c>
      <c r="U28" s="111">
        <f t="shared" si="13"/>
        <v>22</v>
      </c>
      <c r="V28" s="111">
        <f t="shared" si="14"/>
        <v>42</v>
      </c>
      <c r="W28" s="111" t="str">
        <f t="shared" si="15"/>
        <v>051,0-A000A0000000A00000000-042</v>
      </c>
      <c r="X28" s="111">
        <f t="shared" si="16"/>
        <v>22</v>
      </c>
      <c r="Y28" s="112">
        <f t="shared" si="17"/>
        <v>24</v>
      </c>
      <c r="Z28" s="113" t="str">
        <f>IFERROR(INDEX('V1'!C$300:C$400,MATCH("*"&amp;L28&amp;"*",'V1'!B$300:B$400,0)),"  ")</f>
        <v xml:space="preserve">  </v>
      </c>
      <c r="AA28" s="113" t="str">
        <f>IFERROR(INDEX('V2'!C$300:C$389,MATCH("*"&amp;L28&amp;"*",'V2'!B$300:B$389,0)),"  ")</f>
        <v xml:space="preserve">  </v>
      </c>
      <c r="AB28" s="113">
        <f>IFERROR(INDEX('V3'!C$300:C$399,MATCH("*"&amp;L28&amp;"*",'V3'!B$300:B$399,0)),"  ")</f>
        <v>16</v>
      </c>
      <c r="AC28" s="113" t="str">
        <f>IFERROR(INDEX('V4'!C$300:C$400,MATCH("*"&amp;L28&amp;"*",'V4'!B$300:B$400,0)),"  ")</f>
        <v xml:space="preserve">  </v>
      </c>
      <c r="AD28" s="113" t="str">
        <f>IFERROR(INDEX('V5'!C$300:C$400,MATCH("*"&amp;L28&amp;"*",'V5'!B$300:B$400,0)),"  ")</f>
        <v xml:space="preserve">  </v>
      </c>
      <c r="AE28" s="113">
        <f>IFERROR(INDEX('V6'!C$300:C$400,MATCH("*"&amp;L28&amp;"*",'V6'!B$300:B$400,0)),"  ")</f>
        <v>2</v>
      </c>
      <c r="AF28" s="113" t="str">
        <f>IFERROR(INDEX('V7'!C$300:C$400,MATCH("*"&amp;L28&amp;"*",'V7'!B$300:B$400,0)),"  ")</f>
        <v xml:space="preserve">  </v>
      </c>
      <c r="AG28" s="113">
        <f>IFERROR(INDEX('V8'!C$300:C$400,MATCH("*"&amp;L28&amp;"*",'V8'!B$300:B$400,0)),"  ")</f>
        <v>12</v>
      </c>
      <c r="AH28" s="113" t="str">
        <f>IFERROR(INDEX('V9'!C$300:C$400,MATCH("*"&amp;L28&amp;"*",'V9'!B$300:B$400,0)),"  ")</f>
        <v xml:space="preserve">  </v>
      </c>
      <c r="AI28" s="113">
        <f>IFERROR(INDEX('V10'!C$300:C$400,MATCH("*"&amp;L28&amp;"*",'V10'!B$300:B$400,0)),"  ")</f>
        <v>21</v>
      </c>
      <c r="AJ28" s="114">
        <f t="shared" si="18"/>
        <v>22</v>
      </c>
      <c r="AK28" s="346">
        <f t="shared" si="19"/>
        <v>51</v>
      </c>
      <c r="AL28" s="115" t="str">
        <f t="shared" si="20"/>
        <v>edasi 22</v>
      </c>
      <c r="AM28" s="116" t="str">
        <f>IFERROR(INDEX(#REF!,MATCH("*"&amp;L28&amp;"*",#REF!,0)),"  ")</f>
        <v xml:space="preserve">  </v>
      </c>
      <c r="AN28" s="117">
        <f t="shared" si="21"/>
        <v>4</v>
      </c>
      <c r="AO28" s="118">
        <f t="shared" si="22"/>
        <v>1</v>
      </c>
      <c r="AP28" s="118">
        <f t="shared" si="23"/>
        <v>1</v>
      </c>
      <c r="AQ28" s="48"/>
      <c r="AT28" s="119">
        <f t="shared" si="24"/>
        <v>1E-4</v>
      </c>
      <c r="AU28" s="120">
        <f t="shared" si="25"/>
        <v>1E-4</v>
      </c>
      <c r="AV28" s="120">
        <f t="shared" si="26"/>
        <v>2.0000000000000001E-4</v>
      </c>
      <c r="AW28" s="120">
        <f t="shared" si="27"/>
        <v>16.000299999999999</v>
      </c>
      <c r="AX28" s="120">
        <f t="shared" si="28"/>
        <v>4.0000000000000002E-4</v>
      </c>
      <c r="AY28" s="120">
        <f t="shared" si="29"/>
        <v>5.0000000000000001E-4</v>
      </c>
      <c r="AZ28" s="120">
        <f t="shared" si="30"/>
        <v>2.0005999999999999</v>
      </c>
      <c r="BA28" s="120">
        <f t="shared" si="31"/>
        <v>6.9999999999999999E-4</v>
      </c>
      <c r="BB28" s="120">
        <f t="shared" si="32"/>
        <v>12.0008</v>
      </c>
      <c r="BC28" s="120">
        <f t="shared" si="33"/>
        <v>8.9999999999999998E-4</v>
      </c>
      <c r="BD28" s="120">
        <f t="shared" si="34"/>
        <v>21.001000000000001</v>
      </c>
      <c r="BI28" s="1" t="e">
        <f t="shared" si="35"/>
        <v>#VALUE!</v>
      </c>
      <c r="BJ28" s="1" t="e">
        <f t="shared" si="36"/>
        <v>#VALUE!</v>
      </c>
      <c r="BK28" s="1">
        <f t="shared" si="37"/>
        <v>5</v>
      </c>
      <c r="BL28" s="1" t="e">
        <f t="shared" si="38"/>
        <v>#VALUE!</v>
      </c>
      <c r="BM28" s="1" t="e">
        <f t="shared" si="39"/>
        <v>#VALUE!</v>
      </c>
      <c r="BN28" s="1">
        <f t="shared" si="40"/>
        <v>13</v>
      </c>
      <c r="BO28" s="1" t="e">
        <f t="shared" si="41"/>
        <v>#VALUE!</v>
      </c>
      <c r="BP28" s="1">
        <f t="shared" si="42"/>
        <v>8.5</v>
      </c>
      <c r="BQ28" s="1" t="e">
        <f t="shared" si="43"/>
        <v>#VALUE!</v>
      </c>
      <c r="BR28" s="1">
        <f t="shared" si="44"/>
        <v>1</v>
      </c>
    </row>
    <row r="29" spans="1:70" x14ac:dyDescent="0.2">
      <c r="A29" s="719">
        <f t="shared" si="1"/>
        <v>18</v>
      </c>
      <c r="B29" s="99">
        <f t="shared" si="2"/>
        <v>23</v>
      </c>
      <c r="C29" s="354">
        <f t="shared" si="3"/>
        <v>10</v>
      </c>
      <c r="D29" s="316">
        <f t="shared" si="4"/>
        <v>23</v>
      </c>
      <c r="E29" s="100">
        <f t="shared" si="5"/>
        <v>19</v>
      </c>
      <c r="F29" s="99">
        <f t="shared" si="6"/>
        <v>23</v>
      </c>
      <c r="G29" s="101" t="str">
        <f t="shared" si="7"/>
        <v/>
      </c>
      <c r="H29" s="99">
        <f t="shared" si="8"/>
        <v>-977</v>
      </c>
      <c r="I29" s="102" t="str">
        <f t="shared" si="9"/>
        <v/>
      </c>
      <c r="J29" s="103">
        <f t="shared" si="10"/>
        <v>-977</v>
      </c>
      <c r="K29" s="132">
        <f t="shared" si="11"/>
        <v>23</v>
      </c>
      <c r="L29" s="968" t="s">
        <v>113</v>
      </c>
      <c r="M29" s="133"/>
      <c r="N29" s="134" t="str">
        <f t="shared" si="45"/>
        <v>m</v>
      </c>
      <c r="O29" s="763"/>
      <c r="P29" s="135" t="s">
        <v>233</v>
      </c>
      <c r="Q29" s="109" t="s">
        <v>86</v>
      </c>
      <c r="R29" s="110">
        <f>(IF(COUNT(Z29,AA29,AB29,AC29,AD29,AE29,AF29,AG29,AH29,AI29)&lt;10,SUM(Z29,AA29,AB29,AC29,AD29,AE29,AF29,AG29,AH29,AI29),SUM(LARGE((Z29,AA29,AB29,AC29,AD29,AE29,AF29,AG29,AH29,AI29),{1;2;3;4;5;6;7;8;9}))))</f>
        <v>42</v>
      </c>
      <c r="S29" s="111" t="str">
        <f>INDEX(ETAPP!B$1:B$32,MATCH(COUNTIF(BI29:BR29,1),ETAPP!A$1:A$32,0))&amp;INDEX(ETAPP!B$1:B$32,MATCH(COUNTIF(BI29:BR29,2),ETAPP!A$1:A$32,0))&amp;INDEX(ETAPP!B$1:B$32,MATCH(COUNTIF(BI29:BR29,3),ETAPP!A$1:A$32,0))&amp;INDEX(ETAPP!B$1:B$32,MATCH(COUNTIF(BI29:BR29,4),ETAPP!A$1:A$32,0))&amp;INDEX(ETAPP!B$1:B$32,MATCH(COUNTIF(BI29:BR29,5),ETAPP!A$1:A$32,0))&amp;INDEX(ETAPP!B$1:B$32,MATCH(COUNTIF(BI29:BR29,6),ETAPP!A$1:A$32,0))&amp;INDEX(ETAPP!B$1:B$32,MATCH(COUNTIF(BI29:BR29,7),ETAPP!A$1:A$32,0))&amp;INDEX(ETAPP!B$1:B$32,MATCH(COUNTIF(BI29:BR29,8),ETAPP!A$1:A$32,0))&amp;INDEX(ETAPP!B$1:B$32,MATCH(COUNTIF(BI29:BR29,9),ETAPP!A$1:A$32,0))&amp;INDEX(ETAPP!B$1:B$32,MATCH(COUNTIF(BI29:BR29,10),ETAPP!A$1:A$32,0))&amp;INDEX(ETAPP!B$1:B$32,MATCH(COUNTIF(BI29:BR29,11),ETAPP!A$1:A$32,0))&amp;INDEX(ETAPP!B$1:B$32,MATCH(COUNTIF(BI29:BR29,12),ETAPP!A$1:A$32,0))&amp;INDEX(ETAPP!B$1:B$32,MATCH(COUNTIF(BI29:BR29,13),ETAPP!A$1:A$32,0))&amp;INDEX(ETAPP!B$1:B$32,MATCH(COUNTIF(BI29:BR29,14),ETAPP!A$1:A$32,0))&amp;INDEX(ETAPP!B$1:B$32,MATCH(COUNTIF(BI29:BR29,15),ETAPP!A$1:A$32,0))&amp;INDEX(ETAPP!B$1:B$32,MATCH(COUNTIF(BI29:BR29,16),ETAPP!A$1:A$32,0))&amp;INDEX(ETAPP!B$1:B$32,MATCH(COUNTIF(BI29:BR29,17),ETAPP!A$1:A$32,0))&amp;INDEX(ETAPP!B$1:B$32,MATCH(COUNTIF(BI29:BR29,18),ETAPP!A$1:A$32,0))&amp;INDEX(ETAPP!B$1:B$32,MATCH(COUNTIF(BI29:BR29,19),ETAPP!A$1:A$32,0))&amp;INDEX(ETAPP!B$1:B$32,MATCH(COUNTIF(BI29:BR29,20),ETAPP!A$1:A$32,0))&amp;INDEX(ETAPP!B$1:B$32,MATCH(COUNTIF(BI29:BR29,21),ETAPP!A$1:A$32,0))</f>
        <v>AA0000000000000000000</v>
      </c>
      <c r="T29" s="136" t="str">
        <f t="shared" si="12"/>
        <v>042,0-AA0000000000000000000</v>
      </c>
      <c r="U29" s="136">
        <f t="shared" si="13"/>
        <v>23</v>
      </c>
      <c r="V29" s="136">
        <f t="shared" si="14"/>
        <v>3</v>
      </c>
      <c r="W29" s="136" t="str">
        <f t="shared" si="15"/>
        <v>042,0-AA0000000000000000000-003</v>
      </c>
      <c r="X29" s="136">
        <f t="shared" si="16"/>
        <v>23</v>
      </c>
      <c r="Y29" s="137">
        <f t="shared" si="17"/>
        <v>23</v>
      </c>
      <c r="Z29" s="113" t="str">
        <f>IFERROR(INDEX('V1'!C$300:C$400,MATCH("*"&amp;L29&amp;"*",'V1'!B$300:B$400,0)),"  ")</f>
        <v xml:space="preserve">  </v>
      </c>
      <c r="AA29" s="113" t="str">
        <f>IFERROR(INDEX('V2'!C$300:C$389,MATCH("*"&amp;L29&amp;"*",'V2'!B$300:B$389,0)),"  ")</f>
        <v xml:space="preserve">  </v>
      </c>
      <c r="AB29" s="113" t="str">
        <f>IFERROR(INDEX('V3'!C$300:C$399,MATCH("*"&amp;L29&amp;"*",'V3'!B$300:B$399,0)),"  ")</f>
        <v xml:space="preserve">  </v>
      </c>
      <c r="AC29" s="113" t="str">
        <f>IFERROR(INDEX('V4'!C$300:C$400,MATCH("*"&amp;L29&amp;"*",'V4'!B$300:B$400,0)),"  ")</f>
        <v xml:space="preserve">  </v>
      </c>
      <c r="AD29" s="113" t="str">
        <f>IFERROR(INDEX('V5'!C$300:C$400,MATCH("*"&amp;L29&amp;"*",'V5'!B$300:B$400,0)),"  ")</f>
        <v xml:space="preserve">  </v>
      </c>
      <c r="AE29" s="113">
        <f>IFERROR(INDEX('V6'!C$300:C$400,MATCH("*"&amp;L29&amp;"*",'V6'!B$300:B$400,0)),"  ")</f>
        <v>24</v>
      </c>
      <c r="AF29" s="113">
        <f>IFERROR(INDEX('V7'!C$300:C$400,MATCH("*"&amp;L29&amp;"*",'V7'!B$300:B$400,0)),"  ")</f>
        <v>18</v>
      </c>
      <c r="AG29" s="113" t="str">
        <f>IFERROR(INDEX('V8'!C$300:C$400,MATCH("*"&amp;L29&amp;"*",'V8'!B$300:B$400,0)),"  ")</f>
        <v xml:space="preserve">  </v>
      </c>
      <c r="AH29" s="113" t="str">
        <f>IFERROR(INDEX('V9'!C$300:C$400,MATCH("*"&amp;L29&amp;"*",'V9'!B$300:B$400,0)),"  ")</f>
        <v xml:space="preserve">  </v>
      </c>
      <c r="AI29" s="113" t="str">
        <f>IFERROR(INDEX('V10'!C$300:C$400,MATCH("*"&amp;L29&amp;"*",'V10'!B$300:B$400,0)),"  ")</f>
        <v xml:space="preserve">  </v>
      </c>
      <c r="AJ29" s="114" t="str">
        <f t="shared" si="18"/>
        <v/>
      </c>
      <c r="AK29" s="346">
        <f t="shared" si="19"/>
        <v>42</v>
      </c>
      <c r="AL29" s="115">
        <f t="shared" si="20"/>
        <v>23</v>
      </c>
      <c r="AM29" s="116" t="str">
        <f>IFERROR(INDEX(#REF!,MATCH("*"&amp;L29&amp;"*",#REF!,0)),"  ")</f>
        <v xml:space="preserve">  </v>
      </c>
      <c r="AN29" s="117">
        <f t="shared" si="21"/>
        <v>2</v>
      </c>
      <c r="AO29" s="118">
        <f t="shared" si="22"/>
        <v>2</v>
      </c>
      <c r="AP29" s="118">
        <f t="shared" si="23"/>
        <v>1</v>
      </c>
      <c r="AQ29" s="122"/>
      <c r="AR29" s="1"/>
      <c r="AS29" s="1"/>
      <c r="AT29" s="119">
        <f t="shared" si="24"/>
        <v>1E-4</v>
      </c>
      <c r="AU29" s="120">
        <f t="shared" si="25"/>
        <v>1E-4</v>
      </c>
      <c r="AV29" s="120">
        <f t="shared" si="26"/>
        <v>2.0000000000000001E-4</v>
      </c>
      <c r="AW29" s="120">
        <f t="shared" si="27"/>
        <v>2.9999999999999997E-4</v>
      </c>
      <c r="AX29" s="120">
        <f t="shared" si="28"/>
        <v>4.0000000000000002E-4</v>
      </c>
      <c r="AY29" s="120">
        <f t="shared" si="29"/>
        <v>5.0000000000000001E-4</v>
      </c>
      <c r="AZ29" s="120">
        <f t="shared" si="30"/>
        <v>24.000599999999999</v>
      </c>
      <c r="BA29" s="120">
        <f t="shared" si="31"/>
        <v>18.000699999999998</v>
      </c>
      <c r="BB29" s="120">
        <f t="shared" si="32"/>
        <v>8.0000000000000004E-4</v>
      </c>
      <c r="BC29" s="120">
        <f t="shared" si="33"/>
        <v>8.9999999999999998E-4</v>
      </c>
      <c r="BD29" s="120">
        <f t="shared" si="34"/>
        <v>1E-3</v>
      </c>
      <c r="BI29" s="1" t="e">
        <f t="shared" si="35"/>
        <v>#VALUE!</v>
      </c>
      <c r="BJ29" s="1" t="e">
        <f t="shared" si="36"/>
        <v>#VALUE!</v>
      </c>
      <c r="BK29" s="1" t="e">
        <f t="shared" si="37"/>
        <v>#VALUE!</v>
      </c>
      <c r="BL29" s="1" t="e">
        <f t="shared" si="38"/>
        <v>#VALUE!</v>
      </c>
      <c r="BM29" s="1" t="e">
        <f t="shared" si="39"/>
        <v>#VALUE!</v>
      </c>
      <c r="BN29" s="1">
        <f t="shared" si="40"/>
        <v>2</v>
      </c>
      <c r="BO29" s="1">
        <f t="shared" si="41"/>
        <v>1</v>
      </c>
      <c r="BP29" s="1" t="e">
        <f t="shared" si="42"/>
        <v>#VALUE!</v>
      </c>
      <c r="BQ29" s="1" t="e">
        <f t="shared" si="43"/>
        <v>#VALUE!</v>
      </c>
      <c r="BR29" s="1" t="e">
        <f t="shared" si="44"/>
        <v>#VALUE!</v>
      </c>
    </row>
    <row r="30" spans="1:70" x14ac:dyDescent="0.2">
      <c r="A30" s="719">
        <f t="shared" si="1"/>
        <v>19</v>
      </c>
      <c r="B30" s="99">
        <f t="shared" si="2"/>
        <v>24</v>
      </c>
      <c r="C30" s="354" t="str">
        <f t="shared" si="3"/>
        <v/>
      </c>
      <c r="D30" s="316">
        <f t="shared" si="4"/>
        <v>-976</v>
      </c>
      <c r="E30" s="100">
        <f t="shared" si="5"/>
        <v>20</v>
      </c>
      <c r="F30" s="99">
        <f t="shared" si="6"/>
        <v>24</v>
      </c>
      <c r="G30" s="101" t="str">
        <f t="shared" si="7"/>
        <v/>
      </c>
      <c r="H30" s="99">
        <f t="shared" si="8"/>
        <v>-976</v>
      </c>
      <c r="I30" s="102" t="str">
        <f t="shared" si="9"/>
        <v/>
      </c>
      <c r="J30" s="103">
        <f t="shared" si="10"/>
        <v>-976</v>
      </c>
      <c r="K30" s="70">
        <f t="shared" si="11"/>
        <v>24</v>
      </c>
      <c r="L30" s="121" t="s">
        <v>114</v>
      </c>
      <c r="M30" s="105"/>
      <c r="N30" s="106" t="str">
        <f t="shared" si="45"/>
        <v>m</v>
      </c>
      <c r="O30" s="107"/>
      <c r="P30" s="108"/>
      <c r="Q30" s="109" t="s">
        <v>86</v>
      </c>
      <c r="R30" s="110">
        <f>(IF(COUNT(Z30,AA30,AB30,AC30,AD30,AE30,AF30,AG30,AH30,AI30)&lt;10,SUM(Z30,AA30,AB30,AC30,AD30,AE30,AF30,AG30,AH30,AI30),SUM(LARGE((Z30,AA30,AB30,AC30,AD30,AE30,AF30,AG30,AH30,AI30),{1;2;3;4;5;6;7;8;9}))))</f>
        <v>42</v>
      </c>
      <c r="S30" s="111" t="str">
        <f>INDEX(ETAPP!B$1:B$32,MATCH(COUNTIF(BI30:BR30,1),ETAPP!A$1:A$32,0))&amp;INDEX(ETAPP!B$1:B$32,MATCH(COUNTIF(BI30:BR30,2),ETAPP!A$1:A$32,0))&amp;INDEX(ETAPP!B$1:B$32,MATCH(COUNTIF(BI30:BR30,3),ETAPP!A$1:A$32,0))&amp;INDEX(ETAPP!B$1:B$32,MATCH(COUNTIF(BI30:BR30,4),ETAPP!A$1:A$32,0))&amp;INDEX(ETAPP!B$1:B$32,MATCH(COUNTIF(BI30:BR30,5),ETAPP!A$1:A$32,0))&amp;INDEX(ETAPP!B$1:B$32,MATCH(COUNTIF(BI30:BR30,6),ETAPP!A$1:A$32,0))&amp;INDEX(ETAPP!B$1:B$32,MATCH(COUNTIF(BI30:BR30,7),ETAPP!A$1:A$32,0))&amp;INDEX(ETAPP!B$1:B$32,MATCH(COUNTIF(BI30:BR30,8),ETAPP!A$1:A$32,0))&amp;INDEX(ETAPP!B$1:B$32,MATCH(COUNTIF(BI30:BR30,9),ETAPP!A$1:A$32,0))&amp;INDEX(ETAPP!B$1:B$32,MATCH(COUNTIF(BI30:BR30,10),ETAPP!A$1:A$32,0))&amp;INDEX(ETAPP!B$1:B$32,MATCH(COUNTIF(BI30:BR30,11),ETAPP!A$1:A$32,0))&amp;INDEX(ETAPP!B$1:B$32,MATCH(COUNTIF(BI30:BR30,12),ETAPP!A$1:A$32,0))&amp;INDEX(ETAPP!B$1:B$32,MATCH(COUNTIF(BI30:BR30,13),ETAPP!A$1:A$32,0))&amp;INDEX(ETAPP!B$1:B$32,MATCH(COUNTIF(BI30:BR30,14),ETAPP!A$1:A$32,0))&amp;INDEX(ETAPP!B$1:B$32,MATCH(COUNTIF(BI30:BR30,15),ETAPP!A$1:A$32,0))&amp;INDEX(ETAPP!B$1:B$32,MATCH(COUNTIF(BI30:BR30,16),ETAPP!A$1:A$32,0))&amp;INDEX(ETAPP!B$1:B$32,MATCH(COUNTIF(BI30:BR30,17),ETAPP!A$1:A$32,0))&amp;INDEX(ETAPP!B$1:B$32,MATCH(COUNTIF(BI30:BR30,18),ETAPP!A$1:A$32,0))&amp;INDEX(ETAPP!B$1:B$32,MATCH(COUNTIF(BI30:BR30,19),ETAPP!A$1:A$32,0))&amp;INDEX(ETAPP!B$1:B$32,MATCH(COUNTIF(BI30:BR30,20),ETAPP!A$1:A$32,0))&amp;INDEX(ETAPP!B$1:B$32,MATCH(COUNTIF(BI30:BR30,21),ETAPP!A$1:A$32,0))</f>
        <v>0A000000000A000000000</v>
      </c>
      <c r="T30" s="111" t="str">
        <f t="shared" si="12"/>
        <v>042,0-0A000000000A000000000</v>
      </c>
      <c r="U30" s="111">
        <f t="shared" si="13"/>
        <v>24</v>
      </c>
      <c r="V30" s="111">
        <f t="shared" si="14"/>
        <v>40</v>
      </c>
      <c r="W30" s="111" t="str">
        <f t="shared" si="15"/>
        <v>042,0-0A000000000A000000000-040</v>
      </c>
      <c r="X30" s="111">
        <f t="shared" si="16"/>
        <v>24</v>
      </c>
      <c r="Y30" s="112">
        <f t="shared" si="17"/>
        <v>22</v>
      </c>
      <c r="Z30" s="113">
        <f>IFERROR(INDEX('V1'!C$300:C$400,MATCH("*"&amp;L30&amp;"*",'V1'!B$300:B$400,0)),"  ")</f>
        <v>14</v>
      </c>
      <c r="AA30" s="113">
        <f>IFERROR(INDEX('V2'!C$300:C$389,MATCH("*"&amp;L30&amp;"*",'V2'!B$300:B$389,0)),"  ")</f>
        <v>18</v>
      </c>
      <c r="AB30" s="113">
        <f>IFERROR(INDEX('V3'!C$300:C$399,MATCH("*"&amp;L30&amp;"*",'V3'!B$300:B$399,0)),"  ")</f>
        <v>2</v>
      </c>
      <c r="AC30" s="113">
        <f>IFERROR(INDEX('V4'!C$300:C$400,MATCH("*"&amp;L30&amp;"*",'V4'!B$300:B$400,0)),"  ")</f>
        <v>6</v>
      </c>
      <c r="AD30" s="113">
        <f>IFERROR(INDEX('V5'!C$300:C$400,MATCH("*"&amp;L30&amp;"*",'V5'!B$300:B$400,0)),"  ")</f>
        <v>2</v>
      </c>
      <c r="AE30" s="113" t="str">
        <f>IFERROR(INDEX('V6'!C$300:C$400,MATCH("*"&amp;L30&amp;"*",'V6'!B$300:B$400,0)),"  ")</f>
        <v xml:space="preserve">  </v>
      </c>
      <c r="AF30" s="113" t="str">
        <f>IFERROR(INDEX('V7'!C$300:C$400,MATCH("*"&amp;L30&amp;"*",'V7'!B$300:B$400,0)),"  ")</f>
        <v xml:space="preserve">  </v>
      </c>
      <c r="AG30" s="113" t="str">
        <f>IFERROR(INDEX('V8'!C$300:C$400,MATCH("*"&amp;L30&amp;"*",'V8'!B$300:B$400,0)),"  ")</f>
        <v xml:space="preserve">  </v>
      </c>
      <c r="AH30" s="113" t="str">
        <f>IFERROR(INDEX('V9'!C$300:C$400,MATCH("*"&amp;L30&amp;"*",'V9'!B$300:B$400,0)),"  ")</f>
        <v xml:space="preserve">  </v>
      </c>
      <c r="AI30" s="113" t="str">
        <f>IFERROR(INDEX('V10'!C$300:C$400,MATCH("*"&amp;L30&amp;"*",'V10'!B$300:B$400,0)),"  ")</f>
        <v xml:space="preserve">  </v>
      </c>
      <c r="AJ30" s="114">
        <f t="shared" si="18"/>
        <v>24</v>
      </c>
      <c r="AK30" s="346">
        <f t="shared" si="19"/>
        <v>42</v>
      </c>
      <c r="AL30" s="115" t="str">
        <f t="shared" si="20"/>
        <v>edasi 23</v>
      </c>
      <c r="AM30" s="116" t="str">
        <f>IFERROR(INDEX(#REF!,MATCH("*"&amp;L30&amp;"*",#REF!,0)),"  ")</f>
        <v xml:space="preserve">  </v>
      </c>
      <c r="AN30" s="117">
        <f t="shared" si="21"/>
        <v>5</v>
      </c>
      <c r="AO30" s="118">
        <f t="shared" si="22"/>
        <v>2</v>
      </c>
      <c r="AP30" s="118">
        <f t="shared" si="23"/>
        <v>0</v>
      </c>
      <c r="AQ30" s="122"/>
      <c r="AR30" s="122"/>
      <c r="AS30" s="122"/>
      <c r="AT30" s="119">
        <f t="shared" si="24"/>
        <v>5.9999999999999995E-4</v>
      </c>
      <c r="AU30" s="120">
        <f t="shared" si="25"/>
        <v>14.0001</v>
      </c>
      <c r="AV30" s="120">
        <f t="shared" si="26"/>
        <v>18.0002</v>
      </c>
      <c r="AW30" s="120">
        <f t="shared" si="27"/>
        <v>2.0003000000000002</v>
      </c>
      <c r="AX30" s="120">
        <f t="shared" si="28"/>
        <v>6.0004</v>
      </c>
      <c r="AY30" s="120">
        <f t="shared" si="29"/>
        <v>2.0005000000000002</v>
      </c>
      <c r="AZ30" s="120">
        <f t="shared" si="30"/>
        <v>5.9999999999999995E-4</v>
      </c>
      <c r="BA30" s="120">
        <f t="shared" si="31"/>
        <v>6.9999999999999999E-4</v>
      </c>
      <c r="BB30" s="120">
        <f t="shared" si="32"/>
        <v>8.0000000000000004E-4</v>
      </c>
      <c r="BC30" s="120">
        <f t="shared" si="33"/>
        <v>8.9999999999999998E-4</v>
      </c>
      <c r="BD30" s="120">
        <f t="shared" si="34"/>
        <v>1E-3</v>
      </c>
      <c r="BE30" s="122"/>
      <c r="BI30" s="1">
        <f t="shared" si="35"/>
        <v>2</v>
      </c>
      <c r="BJ30" s="1">
        <f t="shared" si="36"/>
        <v>2.5</v>
      </c>
      <c r="BK30" s="1">
        <f t="shared" si="37"/>
        <v>12</v>
      </c>
      <c r="BL30" s="1">
        <f t="shared" si="38"/>
        <v>8.5</v>
      </c>
      <c r="BM30" s="1">
        <f t="shared" si="39"/>
        <v>10.5</v>
      </c>
      <c r="BN30" s="1" t="e">
        <f t="shared" si="40"/>
        <v>#VALUE!</v>
      </c>
      <c r="BO30" s="1" t="e">
        <f t="shared" si="41"/>
        <v>#VALUE!</v>
      </c>
      <c r="BP30" s="1" t="e">
        <f t="shared" si="42"/>
        <v>#VALUE!</v>
      </c>
      <c r="BQ30" s="1" t="e">
        <f t="shared" si="43"/>
        <v>#VALUE!</v>
      </c>
      <c r="BR30" s="1" t="e">
        <f t="shared" si="44"/>
        <v>#VALUE!</v>
      </c>
    </row>
    <row r="31" spans="1:70" x14ac:dyDescent="0.2">
      <c r="A31" s="719">
        <f t="shared" si="1"/>
        <v>20</v>
      </c>
      <c r="B31" s="99">
        <f t="shared" si="2"/>
        <v>25</v>
      </c>
      <c r="C31" s="354" t="str">
        <f t="shared" si="3"/>
        <v/>
      </c>
      <c r="D31" s="316">
        <f t="shared" si="4"/>
        <v>-975</v>
      </c>
      <c r="E31" s="100">
        <f t="shared" si="5"/>
        <v>21</v>
      </c>
      <c r="F31" s="99">
        <f t="shared" si="6"/>
        <v>25</v>
      </c>
      <c r="G31" s="101" t="str">
        <f t="shared" si="7"/>
        <v/>
      </c>
      <c r="H31" s="99">
        <f t="shared" si="8"/>
        <v>-975</v>
      </c>
      <c r="I31" s="102" t="str">
        <f t="shared" si="9"/>
        <v/>
      </c>
      <c r="J31" s="103">
        <f t="shared" si="10"/>
        <v>-975</v>
      </c>
      <c r="K31" s="70">
        <f t="shared" si="11"/>
        <v>25</v>
      </c>
      <c r="L31" s="123" t="s">
        <v>64</v>
      </c>
      <c r="M31" s="105"/>
      <c r="N31" s="106" t="str">
        <f t="shared" si="45"/>
        <v>m</v>
      </c>
      <c r="O31" s="107"/>
      <c r="P31" s="108"/>
      <c r="Q31" s="109" t="s">
        <v>86</v>
      </c>
      <c r="R31" s="110">
        <f>(IF(COUNT(Z31,AA31,AB31,AC31,AD31,AE31,AF31,AG31,AH31,AI31)&lt;10,SUM(Z31,AA31,AB31,AC31,AD31,AE31,AF31,AG31,AH31,AI31),SUM(LARGE((Z31,AA31,AB31,AC31,AD31,AE31,AF31,AG31,AH31,AI31),{1;2;3;4;5;6;7;8;9}))))</f>
        <v>42</v>
      </c>
      <c r="S31" s="111" t="str">
        <f>INDEX(ETAPP!B$1:B$32,MATCH(COUNTIF(BI31:BR31,1),ETAPP!A$1:A$32,0))&amp;INDEX(ETAPP!B$1:B$32,MATCH(COUNTIF(BI31:BR31,2),ETAPP!A$1:A$32,0))&amp;INDEX(ETAPP!B$1:B$32,MATCH(COUNTIF(BI31:BR31,3),ETAPP!A$1:A$32,0))&amp;INDEX(ETAPP!B$1:B$32,MATCH(COUNTIF(BI31:BR31,4),ETAPP!A$1:A$32,0))&amp;INDEX(ETAPP!B$1:B$32,MATCH(COUNTIF(BI31:BR31,5),ETAPP!A$1:A$32,0))&amp;INDEX(ETAPP!B$1:B$32,MATCH(COUNTIF(BI31:BR31,6),ETAPP!A$1:A$32,0))&amp;INDEX(ETAPP!B$1:B$32,MATCH(COUNTIF(BI31:BR31,7),ETAPP!A$1:A$32,0))&amp;INDEX(ETAPP!B$1:B$32,MATCH(COUNTIF(BI31:BR31,8),ETAPP!A$1:A$32,0))&amp;INDEX(ETAPP!B$1:B$32,MATCH(COUNTIF(BI31:BR31,9),ETAPP!A$1:A$32,0))&amp;INDEX(ETAPP!B$1:B$32,MATCH(COUNTIF(BI31:BR31,10),ETAPP!A$1:A$32,0))&amp;INDEX(ETAPP!B$1:B$32,MATCH(COUNTIF(BI31:BR31,11),ETAPP!A$1:A$32,0))&amp;INDEX(ETAPP!B$1:B$32,MATCH(COUNTIF(BI31:BR31,12),ETAPP!A$1:A$32,0))&amp;INDEX(ETAPP!B$1:B$32,MATCH(COUNTIF(BI31:BR31,13),ETAPP!A$1:A$32,0))&amp;INDEX(ETAPP!B$1:B$32,MATCH(COUNTIF(BI31:BR31,14),ETAPP!A$1:A$32,0))&amp;INDEX(ETAPP!B$1:B$32,MATCH(COUNTIF(BI31:BR31,15),ETAPP!A$1:A$32,0))&amp;INDEX(ETAPP!B$1:B$32,MATCH(COUNTIF(BI31:BR31,16),ETAPP!A$1:A$32,0))&amp;INDEX(ETAPP!B$1:B$32,MATCH(COUNTIF(BI31:BR31,17),ETAPP!A$1:A$32,0))&amp;INDEX(ETAPP!B$1:B$32,MATCH(COUNTIF(BI31:BR31,18),ETAPP!A$1:A$32,0))&amp;INDEX(ETAPP!B$1:B$32,MATCH(COUNTIF(BI31:BR31,19),ETAPP!A$1:A$32,0))&amp;INDEX(ETAPP!B$1:B$32,MATCH(COUNTIF(BI31:BR31,20),ETAPP!A$1:A$32,0))&amp;INDEX(ETAPP!B$1:B$32,MATCH(COUNTIF(BI31:BR31,21),ETAPP!A$1:A$32,0))</f>
        <v>0000A0000000000000000</v>
      </c>
      <c r="T31" s="111" t="str">
        <f t="shared" si="12"/>
        <v>042,0-0000A0000000000000000</v>
      </c>
      <c r="U31" s="111">
        <f t="shared" si="13"/>
        <v>25</v>
      </c>
      <c r="V31" s="111">
        <f t="shared" si="14"/>
        <v>16</v>
      </c>
      <c r="W31" s="111" t="str">
        <f t="shared" si="15"/>
        <v>042,0-0000A0000000000000000-016</v>
      </c>
      <c r="X31" s="111">
        <f t="shared" si="16"/>
        <v>25</v>
      </c>
      <c r="Y31" s="112">
        <f t="shared" si="17"/>
        <v>21</v>
      </c>
      <c r="Z31" s="113" t="str">
        <f>IFERROR(INDEX('V1'!C$300:C$400,MATCH("*"&amp;L31&amp;"*",'V1'!B$300:B$400,0)),"  ")</f>
        <v xml:space="preserve">  </v>
      </c>
      <c r="AA31" s="113" t="str">
        <f>IFERROR(INDEX('V2'!C$300:C$389,MATCH("*"&amp;L31&amp;"*",'V2'!B$300:B$389,0)),"  ")</f>
        <v xml:space="preserve">  </v>
      </c>
      <c r="AB31" s="113" t="str">
        <f>IFERROR(INDEX('V3'!C$300:C$399,MATCH("*"&amp;L31&amp;"*",'V3'!B$300:B$399,0)),"  ")</f>
        <v xml:space="preserve">  </v>
      </c>
      <c r="AC31" s="113" t="str">
        <f>IFERROR(INDEX('V4'!C$300:C$400,MATCH("*"&amp;L31&amp;"*",'V4'!B$300:B$400,0)),"  ")</f>
        <v xml:space="preserve">  </v>
      </c>
      <c r="AD31" s="113" t="str">
        <f>IFERROR(INDEX('V5'!C$300:C$400,MATCH("*"&amp;L31&amp;"*",'V5'!B$300:B$400,0)),"  ")</f>
        <v xml:space="preserve">  </v>
      </c>
      <c r="AE31" s="113" t="str">
        <f>IFERROR(INDEX('V6'!C$300:C$400,MATCH("*"&amp;L31&amp;"*",'V6'!B$300:B$400,0)),"  ")</f>
        <v xml:space="preserve">  </v>
      </c>
      <c r="AF31" s="113" t="str">
        <f>IFERROR(INDEX('V7'!C$300:C$400,MATCH("*"&amp;L31&amp;"*",'V7'!B$300:B$400,0)),"  ")</f>
        <v xml:space="preserve">  </v>
      </c>
      <c r="AG31" s="113">
        <f>IFERROR(INDEX('V8'!C$300:C$400,MATCH("*"&amp;L31&amp;"*",'V8'!B$300:B$400,0)),"  ")</f>
        <v>24</v>
      </c>
      <c r="AH31" s="113">
        <f>IFERROR(INDEX('V9'!C$300:C$400,MATCH("*"&amp;L31&amp;"*",'V9'!B$300:B$400,0)),"  ")</f>
        <v>18</v>
      </c>
      <c r="AI31" s="113" t="str">
        <f>IFERROR(INDEX('V10'!C$300:C$400,MATCH("*"&amp;L31&amp;"*",'V10'!B$300:B$400,0)),"  ")</f>
        <v xml:space="preserve">  </v>
      </c>
      <c r="AJ31" s="114" t="str">
        <f t="shared" si="18"/>
        <v/>
      </c>
      <c r="AK31" s="346">
        <f t="shared" si="19"/>
        <v>42</v>
      </c>
      <c r="AL31" s="115">
        <f t="shared" si="20"/>
        <v>25</v>
      </c>
      <c r="AM31" s="116" t="str">
        <f>IFERROR(INDEX(#REF!,MATCH("*"&amp;L31&amp;"*",#REF!,0)),"  ")</f>
        <v xml:space="preserve">  </v>
      </c>
      <c r="AN31" s="117">
        <f t="shared" si="21"/>
        <v>2</v>
      </c>
      <c r="AO31" s="118">
        <f t="shared" si="22"/>
        <v>1</v>
      </c>
      <c r="AP31" s="118">
        <f t="shared" si="23"/>
        <v>0</v>
      </c>
      <c r="AQ31" s="48"/>
      <c r="AT31" s="119">
        <f t="shared" si="24"/>
        <v>1E-4</v>
      </c>
      <c r="AU31" s="120">
        <f t="shared" si="25"/>
        <v>1E-4</v>
      </c>
      <c r="AV31" s="120">
        <f t="shared" si="26"/>
        <v>2.0000000000000001E-4</v>
      </c>
      <c r="AW31" s="120">
        <f t="shared" si="27"/>
        <v>2.9999999999999997E-4</v>
      </c>
      <c r="AX31" s="120">
        <f t="shared" si="28"/>
        <v>4.0000000000000002E-4</v>
      </c>
      <c r="AY31" s="120">
        <f t="shared" si="29"/>
        <v>5.0000000000000001E-4</v>
      </c>
      <c r="AZ31" s="120">
        <f t="shared" si="30"/>
        <v>5.9999999999999995E-4</v>
      </c>
      <c r="BA31" s="120">
        <f t="shared" si="31"/>
        <v>6.9999999999999999E-4</v>
      </c>
      <c r="BB31" s="120">
        <f t="shared" si="32"/>
        <v>24.000800000000002</v>
      </c>
      <c r="BC31" s="120">
        <f t="shared" si="33"/>
        <v>18.000900000000001</v>
      </c>
      <c r="BD31" s="120">
        <f t="shared" si="34"/>
        <v>1E-3</v>
      </c>
      <c r="BI31" s="1" t="e">
        <f t="shared" si="35"/>
        <v>#VALUE!</v>
      </c>
      <c r="BJ31" s="1" t="e">
        <f t="shared" si="36"/>
        <v>#VALUE!</v>
      </c>
      <c r="BK31" s="1" t="e">
        <f t="shared" si="37"/>
        <v>#VALUE!</v>
      </c>
      <c r="BL31" s="1" t="e">
        <f t="shared" si="38"/>
        <v>#VALUE!</v>
      </c>
      <c r="BM31" s="1" t="e">
        <f t="shared" si="39"/>
        <v>#VALUE!</v>
      </c>
      <c r="BN31" s="1" t="e">
        <f t="shared" si="40"/>
        <v>#VALUE!</v>
      </c>
      <c r="BO31" s="1" t="e">
        <f t="shared" si="41"/>
        <v>#VALUE!</v>
      </c>
      <c r="BP31" s="1">
        <f t="shared" si="42"/>
        <v>2.5</v>
      </c>
      <c r="BQ31" s="1">
        <f t="shared" si="43"/>
        <v>5</v>
      </c>
      <c r="BR31" s="1" t="e">
        <f t="shared" si="44"/>
        <v>#VALUE!</v>
      </c>
    </row>
    <row r="32" spans="1:70" x14ac:dyDescent="0.2">
      <c r="A32" s="719">
        <f t="shared" si="1"/>
        <v>21</v>
      </c>
      <c r="B32" s="99">
        <f t="shared" si="2"/>
        <v>26</v>
      </c>
      <c r="C32" s="354" t="str">
        <f t="shared" si="3"/>
        <v/>
      </c>
      <c r="D32" s="316">
        <f t="shared" si="4"/>
        <v>-974</v>
      </c>
      <c r="E32" s="100">
        <f t="shared" si="5"/>
        <v>22</v>
      </c>
      <c r="F32" s="99">
        <f t="shared" si="6"/>
        <v>26</v>
      </c>
      <c r="G32" s="101" t="str">
        <f t="shared" si="7"/>
        <v/>
      </c>
      <c r="H32" s="99">
        <f t="shared" si="8"/>
        <v>-974</v>
      </c>
      <c r="I32" s="102" t="str">
        <f t="shared" si="9"/>
        <v/>
      </c>
      <c r="J32" s="103">
        <f t="shared" si="10"/>
        <v>-974</v>
      </c>
      <c r="K32" s="70">
        <f t="shared" si="11"/>
        <v>26</v>
      </c>
      <c r="L32" s="123" t="s">
        <v>116</v>
      </c>
      <c r="M32" s="105"/>
      <c r="N32" s="106" t="str">
        <f t="shared" si="45"/>
        <v>m</v>
      </c>
      <c r="O32" s="107"/>
      <c r="P32" s="108"/>
      <c r="Q32" s="109" t="s">
        <v>86</v>
      </c>
      <c r="R32" s="110">
        <f>(IF(COUNT(Z32,AA32,AB32,AC32,AD32,AE32,AF32,AG32,AH32,AI32)&lt;10,SUM(Z32,AA32,AB32,AC32,AD32,AE32,AF32,AG32,AH32,AI32),SUM(LARGE((Z32,AA32,AB32,AC32,AD32,AE32,AF32,AG32,AH32,AI32),{1;2;3;4;5;6;7;8;9}))))</f>
        <v>40</v>
      </c>
      <c r="S32" s="111" t="str">
        <f>INDEX(ETAPP!B$1:B$32,MATCH(COUNTIF(BI32:BR32,1),ETAPP!A$1:A$32,0))&amp;INDEX(ETAPP!B$1:B$32,MATCH(COUNTIF(BI32:BR32,2),ETAPP!A$1:A$32,0))&amp;INDEX(ETAPP!B$1:B$32,MATCH(COUNTIF(BI32:BR32,3),ETAPP!A$1:A$32,0))&amp;INDEX(ETAPP!B$1:B$32,MATCH(COUNTIF(BI32:BR32,4),ETAPP!A$1:A$32,0))&amp;INDEX(ETAPP!B$1:B$32,MATCH(COUNTIF(BI32:BR32,5),ETAPP!A$1:A$32,0))&amp;INDEX(ETAPP!B$1:B$32,MATCH(COUNTIF(BI32:BR32,6),ETAPP!A$1:A$32,0))&amp;INDEX(ETAPP!B$1:B$32,MATCH(COUNTIF(BI32:BR32,7),ETAPP!A$1:A$32,0))&amp;INDEX(ETAPP!B$1:B$32,MATCH(COUNTIF(BI32:BR32,8),ETAPP!A$1:A$32,0))&amp;INDEX(ETAPP!B$1:B$32,MATCH(COUNTIF(BI32:BR32,9),ETAPP!A$1:A$32,0))&amp;INDEX(ETAPP!B$1:B$32,MATCH(COUNTIF(BI32:BR32,10),ETAPP!A$1:A$32,0))&amp;INDEX(ETAPP!B$1:B$32,MATCH(COUNTIF(BI32:BR32,11),ETAPP!A$1:A$32,0))&amp;INDEX(ETAPP!B$1:B$32,MATCH(COUNTIF(BI32:BR32,12),ETAPP!A$1:A$32,0))&amp;INDEX(ETAPP!B$1:B$32,MATCH(COUNTIF(BI32:BR32,13),ETAPP!A$1:A$32,0))&amp;INDEX(ETAPP!B$1:B$32,MATCH(COUNTIF(BI32:BR32,14),ETAPP!A$1:A$32,0))&amp;INDEX(ETAPP!B$1:B$32,MATCH(COUNTIF(BI32:BR32,15),ETAPP!A$1:A$32,0))&amp;INDEX(ETAPP!B$1:B$32,MATCH(COUNTIF(BI32:BR32,16),ETAPP!A$1:A$32,0))&amp;INDEX(ETAPP!B$1:B$32,MATCH(COUNTIF(BI32:BR32,17),ETAPP!A$1:A$32,0))&amp;INDEX(ETAPP!B$1:B$32,MATCH(COUNTIF(BI32:BR32,18),ETAPP!A$1:A$32,0))&amp;INDEX(ETAPP!B$1:B$32,MATCH(COUNTIF(BI32:BR32,19),ETAPP!A$1:A$32,0))&amp;INDEX(ETAPP!B$1:B$32,MATCH(COUNTIF(BI32:BR32,20),ETAPP!A$1:A$32,0))&amp;INDEX(ETAPP!B$1:B$32,MATCH(COUNTIF(BI32:BR32,21),ETAPP!A$1:A$32,0))</f>
        <v>0000000A0A0AA00000000</v>
      </c>
      <c r="T32" s="111" t="str">
        <f t="shared" si="12"/>
        <v>040,0-0000000A0A0AA00000000</v>
      </c>
      <c r="U32" s="111">
        <f t="shared" si="13"/>
        <v>26</v>
      </c>
      <c r="V32" s="111">
        <f t="shared" si="14"/>
        <v>1</v>
      </c>
      <c r="W32" s="111" t="str">
        <f t="shared" si="15"/>
        <v>040,0-0000000A0A0AA00000000-001</v>
      </c>
      <c r="X32" s="111">
        <f t="shared" si="16"/>
        <v>26</v>
      </c>
      <c r="Y32" s="112">
        <f t="shared" si="17"/>
        <v>20</v>
      </c>
      <c r="Z32" s="113" t="str">
        <f>IFERROR(INDEX('V1'!C$300:C$400,MATCH("*"&amp;L32&amp;"*",'V1'!B$300:B$400,0)),"  ")</f>
        <v xml:space="preserve">  </v>
      </c>
      <c r="AA32" s="113">
        <f>IFERROR(INDEX('V2'!C$300:C$389,MATCH("*"&amp;L32&amp;"*",'V2'!B$300:B$389,0)),"  ")</f>
        <v>6</v>
      </c>
      <c r="AB32" s="113">
        <f>IFERROR(INDEX('V3'!C$300:C$399,MATCH("*"&amp;L32&amp;"*",'V3'!B$300:B$399,0)),"  ")</f>
        <v>6</v>
      </c>
      <c r="AC32" s="113" t="str">
        <f>IFERROR(INDEX('V4'!C$300:C$400,MATCH("*"&amp;L32&amp;"*",'V4'!B$300:B$400,0)),"  ")</f>
        <v xml:space="preserve">  </v>
      </c>
      <c r="AD32" s="113" t="str">
        <f>IFERROR(INDEX('V5'!C$300:C$400,MATCH("*"&amp;L32&amp;"*",'V5'!B$300:B$400,0)),"  ")</f>
        <v xml:space="preserve">  </v>
      </c>
      <c r="AE32" s="113">
        <f>IFERROR(INDEX('V6'!C$300:C$400,MATCH("*"&amp;L32&amp;"*",'V6'!B$300:B$400,0)),"  ")</f>
        <v>12</v>
      </c>
      <c r="AF32" s="113">
        <f>IFERROR(INDEX('V7'!C$300:C$400,MATCH("*"&amp;L32&amp;"*",'V7'!B$300:B$400,0)),"  ")</f>
        <v>9</v>
      </c>
      <c r="AG32" s="113">
        <f>IFERROR(INDEX('V8'!C$300:C$400,MATCH("*"&amp;L32&amp;"*",'V8'!B$300:B$400,0)),"  ")</f>
        <v>3</v>
      </c>
      <c r="AH32" s="113">
        <f>IFERROR(INDEX('V9'!C$300:C$400,MATCH("*"&amp;L32&amp;"*",'V9'!B$300:B$400,0)),"  ")</f>
        <v>4</v>
      </c>
      <c r="AI32" s="113" t="str">
        <f>IFERROR(INDEX('V10'!C$300:C$400,MATCH("*"&amp;L32&amp;"*",'V10'!B$300:B$400,0)),"  ")</f>
        <v xml:space="preserve">  </v>
      </c>
      <c r="AJ32" s="114">
        <f t="shared" si="18"/>
        <v>26</v>
      </c>
      <c r="AK32" s="346">
        <f t="shared" si="19"/>
        <v>40</v>
      </c>
      <c r="AL32" s="115" t="str">
        <f t="shared" si="20"/>
        <v>edasi 24</v>
      </c>
      <c r="AM32" s="116" t="str">
        <f>IFERROR(INDEX(#REF!,MATCH("*"&amp;L32&amp;"*",#REF!,0)),"  ")</f>
        <v xml:space="preserve">  </v>
      </c>
      <c r="AN32" s="117">
        <f t="shared" si="21"/>
        <v>6</v>
      </c>
      <c r="AO32" s="118">
        <f t="shared" si="22"/>
        <v>0</v>
      </c>
      <c r="AP32" s="118">
        <f t="shared" si="23"/>
        <v>0</v>
      </c>
      <c r="AQ32" s="122"/>
      <c r="AT32" s="119">
        <f t="shared" si="24"/>
        <v>1E-4</v>
      </c>
      <c r="AU32" s="120">
        <f t="shared" si="25"/>
        <v>1E-4</v>
      </c>
      <c r="AV32" s="120">
        <f t="shared" si="26"/>
        <v>6.0002000000000004</v>
      </c>
      <c r="AW32" s="120">
        <f t="shared" si="27"/>
        <v>6.0003000000000002</v>
      </c>
      <c r="AX32" s="120">
        <f t="shared" si="28"/>
        <v>4.0000000000000002E-4</v>
      </c>
      <c r="AY32" s="120">
        <f t="shared" si="29"/>
        <v>5.0000000000000001E-4</v>
      </c>
      <c r="AZ32" s="120">
        <f t="shared" si="30"/>
        <v>12.0006</v>
      </c>
      <c r="BA32" s="120">
        <f t="shared" si="31"/>
        <v>9.0007000000000001</v>
      </c>
      <c r="BB32" s="120">
        <f t="shared" si="32"/>
        <v>3.0007999999999999</v>
      </c>
      <c r="BC32" s="120">
        <f t="shared" si="33"/>
        <v>4.0008999999999997</v>
      </c>
      <c r="BD32" s="120">
        <f t="shared" si="34"/>
        <v>1E-3</v>
      </c>
      <c r="BI32" s="1" t="e">
        <f t="shared" si="35"/>
        <v>#VALUE!</v>
      </c>
      <c r="BJ32" s="1">
        <f t="shared" si="36"/>
        <v>8.5</v>
      </c>
      <c r="BK32" s="1">
        <f t="shared" si="37"/>
        <v>10</v>
      </c>
      <c r="BL32" s="1" t="e">
        <f t="shared" si="38"/>
        <v>#VALUE!</v>
      </c>
      <c r="BM32" s="1" t="e">
        <f t="shared" si="39"/>
        <v>#VALUE!</v>
      </c>
      <c r="BN32" s="1">
        <f t="shared" si="40"/>
        <v>8</v>
      </c>
      <c r="BO32" s="1">
        <f t="shared" si="41"/>
        <v>5.5</v>
      </c>
      <c r="BP32" s="1">
        <f t="shared" si="42"/>
        <v>13</v>
      </c>
      <c r="BQ32" s="1">
        <f t="shared" si="43"/>
        <v>12</v>
      </c>
      <c r="BR32" s="1" t="e">
        <f t="shared" si="44"/>
        <v>#VALUE!</v>
      </c>
    </row>
    <row r="33" spans="1:70" x14ac:dyDescent="0.2">
      <c r="A33" s="719">
        <f t="shared" si="1"/>
        <v>22</v>
      </c>
      <c r="B33" s="99">
        <f t="shared" si="2"/>
        <v>27</v>
      </c>
      <c r="C33" s="354">
        <f t="shared" si="3"/>
        <v>11</v>
      </c>
      <c r="D33" s="316">
        <f t="shared" si="4"/>
        <v>27</v>
      </c>
      <c r="E33" s="100">
        <f t="shared" si="5"/>
        <v>23</v>
      </c>
      <c r="F33" s="99">
        <f t="shared" si="6"/>
        <v>27</v>
      </c>
      <c r="G33" s="101" t="str">
        <f t="shared" si="7"/>
        <v/>
      </c>
      <c r="H33" s="99">
        <f t="shared" si="8"/>
        <v>-973</v>
      </c>
      <c r="I33" s="102" t="str">
        <f t="shared" si="9"/>
        <v/>
      </c>
      <c r="J33" s="103">
        <f t="shared" si="10"/>
        <v>-973</v>
      </c>
      <c r="K33" s="70">
        <f t="shared" si="11"/>
        <v>27</v>
      </c>
      <c r="L33" s="121" t="s">
        <v>65</v>
      </c>
      <c r="M33" s="105"/>
      <c r="N33" s="106" t="str">
        <f t="shared" si="45"/>
        <v>m</v>
      </c>
      <c r="O33" s="107"/>
      <c r="P33" s="108" t="s">
        <v>233</v>
      </c>
      <c r="Q33" s="109" t="s">
        <v>86</v>
      </c>
      <c r="R33" s="110">
        <f>(IF(COUNT(Z33,AA33,AB33,AC33,AD33,AE33,AF33,AG33,AH33,AI33)&lt;10,SUM(Z33,AA33,AB33,AC33,AD33,AE33,AF33,AG33,AH33,AI33),SUM(LARGE((Z33,AA33,AB33,AC33,AD33,AE33,AF33,AG33,AH33,AI33),{1;2;3;4;5;6;7;8;9}))))</f>
        <v>35</v>
      </c>
      <c r="S33" s="111" t="str">
        <f>INDEX(ETAPP!B$1:B$32,MATCH(COUNTIF(BI33:BR33,1),ETAPP!A$1:A$32,0))&amp;INDEX(ETAPP!B$1:B$32,MATCH(COUNTIF(BI33:BR33,2),ETAPP!A$1:A$32,0))&amp;INDEX(ETAPP!B$1:B$32,MATCH(COUNTIF(BI33:BR33,3),ETAPP!A$1:A$32,0))&amp;INDEX(ETAPP!B$1:B$32,MATCH(COUNTIF(BI33:BR33,4),ETAPP!A$1:A$32,0))&amp;INDEX(ETAPP!B$1:B$32,MATCH(COUNTIF(BI33:BR33,5),ETAPP!A$1:A$32,0))&amp;INDEX(ETAPP!B$1:B$32,MATCH(COUNTIF(BI33:BR33,6),ETAPP!A$1:A$32,0))&amp;INDEX(ETAPP!B$1:B$32,MATCH(COUNTIF(BI33:BR33,7),ETAPP!A$1:A$32,0))&amp;INDEX(ETAPP!B$1:B$32,MATCH(COUNTIF(BI33:BR33,8),ETAPP!A$1:A$32,0))&amp;INDEX(ETAPP!B$1:B$32,MATCH(COUNTIF(BI33:BR33,9),ETAPP!A$1:A$32,0))&amp;INDEX(ETAPP!B$1:B$32,MATCH(COUNTIF(BI33:BR33,10),ETAPP!A$1:A$32,0))&amp;INDEX(ETAPP!B$1:B$32,MATCH(COUNTIF(BI33:BR33,11),ETAPP!A$1:A$32,0))&amp;INDEX(ETAPP!B$1:B$32,MATCH(COUNTIF(BI33:BR33,12),ETAPP!A$1:A$32,0))&amp;INDEX(ETAPP!B$1:B$32,MATCH(COUNTIF(BI33:BR33,13),ETAPP!A$1:A$32,0))&amp;INDEX(ETAPP!B$1:B$32,MATCH(COUNTIF(BI33:BR33,14),ETAPP!A$1:A$32,0))&amp;INDEX(ETAPP!B$1:B$32,MATCH(COUNTIF(BI33:BR33,15),ETAPP!A$1:A$32,0))&amp;INDEX(ETAPP!B$1:B$32,MATCH(COUNTIF(BI33:BR33,16),ETAPP!A$1:A$32,0))&amp;INDEX(ETAPP!B$1:B$32,MATCH(COUNTIF(BI33:BR33,17),ETAPP!A$1:A$32,0))&amp;INDEX(ETAPP!B$1:B$32,MATCH(COUNTIF(BI33:BR33,18),ETAPP!A$1:A$32,0))&amp;INDEX(ETAPP!B$1:B$32,MATCH(COUNTIF(BI33:BR33,19),ETAPP!A$1:A$32,0))&amp;INDEX(ETAPP!B$1:B$32,MATCH(COUNTIF(BI33:BR33,20),ETAPP!A$1:A$32,0))&amp;INDEX(ETAPP!B$1:B$32,MATCH(COUNTIF(BI33:BR33,21),ETAPP!A$1:A$32,0))</f>
        <v>000A00000000000000000</v>
      </c>
      <c r="T33" s="111" t="str">
        <f t="shared" si="12"/>
        <v>035,0-000A00000000000000000</v>
      </c>
      <c r="U33" s="111">
        <f t="shared" si="13"/>
        <v>27</v>
      </c>
      <c r="V33" s="111">
        <f t="shared" si="14"/>
        <v>10</v>
      </c>
      <c r="W33" s="111" t="str">
        <f t="shared" si="15"/>
        <v>035,0-000A00000000000000000-010</v>
      </c>
      <c r="X33" s="111">
        <f t="shared" si="16"/>
        <v>27</v>
      </c>
      <c r="Y33" s="112">
        <f t="shared" si="17"/>
        <v>19</v>
      </c>
      <c r="Z33" s="113" t="str">
        <f>IFERROR(INDEX('V1'!C$300:C$400,MATCH("*"&amp;L33&amp;"*",'V1'!B$300:B$400,0)),"  ")</f>
        <v xml:space="preserve">  </v>
      </c>
      <c r="AA33" s="113" t="str">
        <f>IFERROR(INDEX('V2'!C$300:C$389,MATCH("*"&amp;L33&amp;"*",'V2'!B$300:B$389,0)),"  ")</f>
        <v xml:space="preserve">  </v>
      </c>
      <c r="AB33" s="113" t="str">
        <f>IFERROR(INDEX('V3'!C$300:C$399,MATCH("*"&amp;L33&amp;"*",'V3'!B$300:B$399,0)),"  ")</f>
        <v xml:space="preserve">  </v>
      </c>
      <c r="AC33" s="113" t="str">
        <f>IFERROR(INDEX('V4'!C$300:C$400,MATCH("*"&amp;L33&amp;"*",'V4'!B$300:B$400,0)),"  ")</f>
        <v xml:space="preserve">  </v>
      </c>
      <c r="AD33" s="113" t="str">
        <f>IFERROR(INDEX('V5'!C$300:C$400,MATCH("*"&amp;L33&amp;"*",'V5'!B$300:B$400,0)),"  ")</f>
        <v xml:space="preserve">  </v>
      </c>
      <c r="AE33" s="113">
        <f>IFERROR(INDEX('V6'!C$300:C$400,MATCH("*"&amp;L33&amp;"*",'V6'!B$300:B$400,0)),"  ")</f>
        <v>20</v>
      </c>
      <c r="AF33" s="113">
        <f>IFERROR(INDEX('V7'!C$300:C$400,MATCH("*"&amp;L33&amp;"*",'V7'!B$300:B$400,0)),"  ")</f>
        <v>15</v>
      </c>
      <c r="AG33" s="113" t="str">
        <f>IFERROR(INDEX('V8'!C$300:C$400,MATCH("*"&amp;L33&amp;"*",'V8'!B$300:B$400,0)),"  ")</f>
        <v xml:space="preserve">  </v>
      </c>
      <c r="AH33" s="113" t="str">
        <f>IFERROR(INDEX('V9'!C$300:C$400,MATCH("*"&amp;L33&amp;"*",'V9'!B$300:B$400,0)),"  ")</f>
        <v xml:space="preserve">  </v>
      </c>
      <c r="AI33" s="113" t="str">
        <f>IFERROR(INDEX('V10'!C$300:C$400,MATCH("*"&amp;L33&amp;"*",'V10'!B$300:B$400,0)),"  ")</f>
        <v xml:space="preserve">  </v>
      </c>
      <c r="AJ33" s="114" t="str">
        <f t="shared" si="18"/>
        <v/>
      </c>
      <c r="AK33" s="346">
        <f t="shared" si="19"/>
        <v>35</v>
      </c>
      <c r="AL33" s="115">
        <f t="shared" si="20"/>
        <v>27</v>
      </c>
      <c r="AM33" s="116" t="str">
        <f>IFERROR(INDEX(#REF!,MATCH("*"&amp;L33&amp;"*",#REF!,0)),"  ")</f>
        <v xml:space="preserve">  </v>
      </c>
      <c r="AN33" s="117">
        <f t="shared" si="21"/>
        <v>2</v>
      </c>
      <c r="AO33" s="118">
        <f t="shared" si="22"/>
        <v>1</v>
      </c>
      <c r="AP33" s="118">
        <f t="shared" si="23"/>
        <v>0</v>
      </c>
      <c r="AQ33" s="48"/>
      <c r="AT33" s="119">
        <f t="shared" si="24"/>
        <v>1E-4</v>
      </c>
      <c r="AU33" s="120">
        <f t="shared" si="25"/>
        <v>1E-4</v>
      </c>
      <c r="AV33" s="120">
        <f t="shared" si="26"/>
        <v>2.0000000000000001E-4</v>
      </c>
      <c r="AW33" s="120">
        <f t="shared" si="27"/>
        <v>2.9999999999999997E-4</v>
      </c>
      <c r="AX33" s="120">
        <f t="shared" si="28"/>
        <v>4.0000000000000002E-4</v>
      </c>
      <c r="AY33" s="120">
        <f t="shared" si="29"/>
        <v>5.0000000000000001E-4</v>
      </c>
      <c r="AZ33" s="120">
        <f t="shared" si="30"/>
        <v>20.000599999999999</v>
      </c>
      <c r="BA33" s="120">
        <f t="shared" si="31"/>
        <v>15.0007</v>
      </c>
      <c r="BB33" s="120">
        <f t="shared" si="32"/>
        <v>8.0000000000000004E-4</v>
      </c>
      <c r="BC33" s="120">
        <f t="shared" si="33"/>
        <v>8.9999999999999998E-4</v>
      </c>
      <c r="BD33" s="120">
        <f t="shared" si="34"/>
        <v>1E-3</v>
      </c>
      <c r="BI33" s="1" t="e">
        <f t="shared" si="35"/>
        <v>#VALUE!</v>
      </c>
      <c r="BJ33" s="1" t="e">
        <f t="shared" si="36"/>
        <v>#VALUE!</v>
      </c>
      <c r="BK33" s="1" t="e">
        <f t="shared" si="37"/>
        <v>#VALUE!</v>
      </c>
      <c r="BL33" s="1" t="e">
        <f t="shared" si="38"/>
        <v>#VALUE!</v>
      </c>
      <c r="BM33" s="1" t="e">
        <f t="shared" si="39"/>
        <v>#VALUE!</v>
      </c>
      <c r="BN33" s="1">
        <f t="shared" si="40"/>
        <v>4</v>
      </c>
      <c r="BO33" s="1">
        <f t="shared" si="41"/>
        <v>2.5</v>
      </c>
      <c r="BP33" s="1" t="e">
        <f t="shared" si="42"/>
        <v>#VALUE!</v>
      </c>
      <c r="BQ33" s="1" t="e">
        <f t="shared" si="43"/>
        <v>#VALUE!</v>
      </c>
      <c r="BR33" s="1" t="e">
        <f t="shared" si="44"/>
        <v>#VALUE!</v>
      </c>
    </row>
    <row r="34" spans="1:70" x14ac:dyDescent="0.2">
      <c r="A34" s="719">
        <f t="shared" si="1"/>
        <v>23</v>
      </c>
      <c r="B34" s="99">
        <f t="shared" si="2"/>
        <v>28</v>
      </c>
      <c r="C34" s="354" t="str">
        <f t="shared" si="3"/>
        <v/>
      </c>
      <c r="D34" s="316">
        <f t="shared" si="4"/>
        <v>-972</v>
      </c>
      <c r="E34" s="100" t="str">
        <f t="shared" si="5"/>
        <v/>
      </c>
      <c r="F34" s="99">
        <f t="shared" si="6"/>
        <v>-972</v>
      </c>
      <c r="G34" s="101">
        <f t="shared" si="7"/>
        <v>5</v>
      </c>
      <c r="H34" s="99">
        <f t="shared" si="8"/>
        <v>28</v>
      </c>
      <c r="I34" s="102" t="str">
        <f t="shared" si="9"/>
        <v/>
      </c>
      <c r="J34" s="103">
        <f t="shared" si="10"/>
        <v>-972</v>
      </c>
      <c r="K34" s="70">
        <f t="shared" si="11"/>
        <v>28</v>
      </c>
      <c r="L34" s="121" t="s">
        <v>115</v>
      </c>
      <c r="M34" s="105" t="s">
        <v>104</v>
      </c>
      <c r="N34" s="106" t="str">
        <f t="shared" si="45"/>
        <v/>
      </c>
      <c r="O34" s="107"/>
      <c r="P34" s="108"/>
      <c r="Q34" s="109" t="s">
        <v>86</v>
      </c>
      <c r="R34" s="110">
        <f>(IF(COUNT(Z34,AA34,AB34,AC34,AD34,AE34,AF34,AG34,AH34,AI34)&lt;10,SUM(Z34,AA34,AB34,AC34,AD34,AE34,AF34,AG34,AH34,AI34),SUM(LARGE((Z34,AA34,AB34,AC34,AD34,AE34,AF34,AG34,AH34,AI34),{1;2;3;4;5;6;7;8;9}))))</f>
        <v>31</v>
      </c>
      <c r="S34" s="111" t="str">
        <f>INDEX(ETAPP!B$1:B$32,MATCH(COUNTIF(BI34:BR34,1),ETAPP!A$1:A$32,0))&amp;INDEX(ETAPP!B$1:B$32,MATCH(COUNTIF(BI34:BR34,2),ETAPP!A$1:A$32,0))&amp;INDEX(ETAPP!B$1:B$32,MATCH(COUNTIF(BI34:BR34,3),ETAPP!A$1:A$32,0))&amp;INDEX(ETAPP!B$1:B$32,MATCH(COUNTIF(BI34:BR34,4),ETAPP!A$1:A$32,0))&amp;INDEX(ETAPP!B$1:B$32,MATCH(COUNTIF(BI34:BR34,5),ETAPP!A$1:A$32,0))&amp;INDEX(ETAPP!B$1:B$32,MATCH(COUNTIF(BI34:BR34,6),ETAPP!A$1:A$32,0))&amp;INDEX(ETAPP!B$1:B$32,MATCH(COUNTIF(BI34:BR34,7),ETAPP!A$1:A$32,0))&amp;INDEX(ETAPP!B$1:B$32,MATCH(COUNTIF(BI34:BR34,8),ETAPP!A$1:A$32,0))&amp;INDEX(ETAPP!B$1:B$32,MATCH(COUNTIF(BI34:BR34,9),ETAPP!A$1:A$32,0))&amp;INDEX(ETAPP!B$1:B$32,MATCH(COUNTIF(BI34:BR34,10),ETAPP!A$1:A$32,0))&amp;INDEX(ETAPP!B$1:B$32,MATCH(COUNTIF(BI34:BR34,11),ETAPP!A$1:A$32,0))&amp;INDEX(ETAPP!B$1:B$32,MATCH(COUNTIF(BI34:BR34,12),ETAPP!A$1:A$32,0))&amp;INDEX(ETAPP!B$1:B$32,MATCH(COUNTIF(BI34:BR34,13),ETAPP!A$1:A$32,0))&amp;INDEX(ETAPP!B$1:B$32,MATCH(COUNTIF(BI34:BR34,14),ETAPP!A$1:A$32,0))&amp;INDEX(ETAPP!B$1:B$32,MATCH(COUNTIF(BI34:BR34,15),ETAPP!A$1:A$32,0))&amp;INDEX(ETAPP!B$1:B$32,MATCH(COUNTIF(BI34:BR34,16),ETAPP!A$1:A$32,0))&amp;INDEX(ETAPP!B$1:B$32,MATCH(COUNTIF(BI34:BR34,17),ETAPP!A$1:A$32,0))&amp;INDEX(ETAPP!B$1:B$32,MATCH(COUNTIF(BI34:BR34,18),ETAPP!A$1:A$32,0))&amp;INDEX(ETAPP!B$1:B$32,MATCH(COUNTIF(BI34:BR34,19),ETAPP!A$1:A$32,0))&amp;INDEX(ETAPP!B$1:B$32,MATCH(COUNTIF(BI34:BR34,20),ETAPP!A$1:A$32,0))&amp;INDEX(ETAPP!B$1:B$32,MATCH(COUNTIF(BI34:BR34,21),ETAPP!A$1:A$32,0))</f>
        <v>0000000A0A0AA00000000</v>
      </c>
      <c r="T34" s="111" t="str">
        <f t="shared" si="12"/>
        <v>031,0-0000000A0A0AA00000000</v>
      </c>
      <c r="U34" s="111">
        <f t="shared" si="13"/>
        <v>28</v>
      </c>
      <c r="V34" s="111">
        <f t="shared" si="14"/>
        <v>18</v>
      </c>
      <c r="W34" s="111" t="str">
        <f t="shared" si="15"/>
        <v>031,0-0000000A0A0AA00000000-018</v>
      </c>
      <c r="X34" s="111">
        <f t="shared" si="16"/>
        <v>28</v>
      </c>
      <c r="Y34" s="112">
        <f t="shared" si="17"/>
        <v>18</v>
      </c>
      <c r="Z34" s="113" t="str">
        <f>IFERROR(INDEX('V1'!C$300:C$400,MATCH("*"&amp;L34&amp;"*",'V1'!B$300:B$400,0)),"  ")</f>
        <v xml:space="preserve">  </v>
      </c>
      <c r="AA34" s="113">
        <f>IFERROR(INDEX('V2'!C$300:C$389,MATCH("*"&amp;L34&amp;"*",'V2'!B$300:B$389,0)),"  ")</f>
        <v>6</v>
      </c>
      <c r="AB34" s="113">
        <f>IFERROR(INDEX('V3'!C$300:C$399,MATCH("*"&amp;L34&amp;"*",'V3'!B$300:B$399,0)),"  ")</f>
        <v>6</v>
      </c>
      <c r="AC34" s="113" t="str">
        <f>IFERROR(INDEX('V4'!C$300:C$400,MATCH("*"&amp;L34&amp;"*",'V4'!B$300:B$400,0)),"  ")</f>
        <v xml:space="preserve">  </v>
      </c>
      <c r="AD34" s="113" t="str">
        <f>IFERROR(INDEX('V5'!C$300:C$400,MATCH("*"&amp;L34&amp;"*",'V5'!B$300:B$400,0)),"  ")</f>
        <v xml:space="preserve">  </v>
      </c>
      <c r="AE34" s="113">
        <f>IFERROR(INDEX('V6'!C$300:C$400,MATCH("*"&amp;L34&amp;"*",'V6'!B$300:B$400,0)),"  ")</f>
        <v>12</v>
      </c>
      <c r="AF34" s="113" t="str">
        <f>IFERROR(INDEX('V7'!C$300:C$400,MATCH("*"&amp;L34&amp;"*",'V7'!B$300:B$400,0)),"  ")</f>
        <v xml:space="preserve">  </v>
      </c>
      <c r="AG34" s="113">
        <f>IFERROR(INDEX('V8'!C$300:C$400,MATCH("*"&amp;L34&amp;"*",'V8'!B$300:B$400,0)),"  ")</f>
        <v>3</v>
      </c>
      <c r="AH34" s="113">
        <f>IFERROR(INDEX('V9'!C$300:C$400,MATCH("*"&amp;L34&amp;"*",'V9'!B$300:B$400,0)),"  ")</f>
        <v>4</v>
      </c>
      <c r="AI34" s="113" t="str">
        <f>IFERROR(INDEX('V10'!C$300:C$400,MATCH("*"&amp;L34&amp;"*",'V10'!B$300:B$400,0)),"  ")</f>
        <v xml:space="preserve">  </v>
      </c>
      <c r="AJ34" s="114">
        <f t="shared" si="18"/>
        <v>28</v>
      </c>
      <c r="AK34" s="346">
        <f t="shared" si="19"/>
        <v>31</v>
      </c>
      <c r="AL34" s="115" t="str">
        <f t="shared" si="20"/>
        <v>edasi 25</v>
      </c>
      <c r="AM34" s="116" t="str">
        <f>IFERROR(INDEX(#REF!,MATCH("*"&amp;L34&amp;"*",#REF!,0)),"  ")</f>
        <v xml:space="preserve">  </v>
      </c>
      <c r="AN34" s="117">
        <f t="shared" si="21"/>
        <v>5</v>
      </c>
      <c r="AO34" s="118">
        <f t="shared" si="22"/>
        <v>0</v>
      </c>
      <c r="AP34" s="118">
        <f t="shared" si="23"/>
        <v>0</v>
      </c>
      <c r="AQ34" s="122"/>
      <c r="AT34" s="119">
        <f t="shared" si="24"/>
        <v>1E-4</v>
      </c>
      <c r="AU34" s="120">
        <f t="shared" si="25"/>
        <v>1E-4</v>
      </c>
      <c r="AV34" s="120">
        <f t="shared" si="26"/>
        <v>6.0002000000000004</v>
      </c>
      <c r="AW34" s="120">
        <f t="shared" si="27"/>
        <v>6.0003000000000002</v>
      </c>
      <c r="AX34" s="120">
        <f t="shared" si="28"/>
        <v>4.0000000000000002E-4</v>
      </c>
      <c r="AY34" s="120">
        <f t="shared" si="29"/>
        <v>5.0000000000000001E-4</v>
      </c>
      <c r="AZ34" s="120">
        <f t="shared" si="30"/>
        <v>12.0006</v>
      </c>
      <c r="BA34" s="120">
        <f t="shared" si="31"/>
        <v>6.9999999999999999E-4</v>
      </c>
      <c r="BB34" s="120">
        <f t="shared" si="32"/>
        <v>3.0007999999999999</v>
      </c>
      <c r="BC34" s="120">
        <f t="shared" si="33"/>
        <v>4.0008999999999997</v>
      </c>
      <c r="BD34" s="120">
        <f t="shared" si="34"/>
        <v>1E-3</v>
      </c>
      <c r="BI34" s="1" t="e">
        <f t="shared" si="35"/>
        <v>#VALUE!</v>
      </c>
      <c r="BJ34" s="1">
        <f t="shared" si="36"/>
        <v>8.5</v>
      </c>
      <c r="BK34" s="1">
        <f t="shared" si="37"/>
        <v>10</v>
      </c>
      <c r="BL34" s="1" t="e">
        <f t="shared" si="38"/>
        <v>#VALUE!</v>
      </c>
      <c r="BM34" s="1" t="e">
        <f t="shared" si="39"/>
        <v>#VALUE!</v>
      </c>
      <c r="BN34" s="1">
        <f t="shared" si="40"/>
        <v>8</v>
      </c>
      <c r="BO34" s="1" t="e">
        <f t="shared" si="41"/>
        <v>#VALUE!</v>
      </c>
      <c r="BP34" s="1">
        <f t="shared" si="42"/>
        <v>13</v>
      </c>
      <c r="BQ34" s="1">
        <f t="shared" si="43"/>
        <v>12</v>
      </c>
      <c r="BR34" s="1" t="e">
        <f t="shared" si="44"/>
        <v>#VALUE!</v>
      </c>
    </row>
    <row r="35" spans="1:70" x14ac:dyDescent="0.2">
      <c r="A35" s="719" t="str">
        <f t="shared" si="1"/>
        <v/>
      </c>
      <c r="B35" s="99">
        <f t="shared" si="2"/>
        <v>-971</v>
      </c>
      <c r="C35" s="354" t="str">
        <f t="shared" si="3"/>
        <v/>
      </c>
      <c r="D35" s="316">
        <f t="shared" si="4"/>
        <v>-971</v>
      </c>
      <c r="E35" s="100" t="str">
        <f t="shared" si="5"/>
        <v/>
      </c>
      <c r="F35" s="99">
        <f t="shared" si="6"/>
        <v>-971</v>
      </c>
      <c r="G35" s="101">
        <f t="shared" si="7"/>
        <v>6</v>
      </c>
      <c r="H35" s="99">
        <f t="shared" si="8"/>
        <v>29</v>
      </c>
      <c r="I35" s="102" t="str">
        <f t="shared" si="9"/>
        <v/>
      </c>
      <c r="J35" s="103">
        <f t="shared" si="10"/>
        <v>-971</v>
      </c>
      <c r="K35" s="70">
        <f t="shared" si="11"/>
        <v>29</v>
      </c>
      <c r="L35" s="104" t="s">
        <v>128</v>
      </c>
      <c r="M35" s="105" t="s">
        <v>104</v>
      </c>
      <c r="N35" s="106" t="str">
        <f t="shared" si="45"/>
        <v/>
      </c>
      <c r="O35" s="107"/>
      <c r="P35" s="108"/>
      <c r="Q35" s="109"/>
      <c r="R35" s="110">
        <f>(IF(COUNT(Z35,AA35,AB35,AC35,AD35,AE35,AF35,AG35,AH35,AI35)&lt;10,SUM(Z35,AA35,AB35,AC35,AD35,AE35,AF35,AG35,AH35,AI35),SUM(LARGE((Z35,AA35,AB35,AC35,AD35,AE35,AF35,AG35,AH35,AI35),{1;2;3;4;5;6;7;8;9}))))</f>
        <v>29</v>
      </c>
      <c r="S35" s="111" t="str">
        <f>INDEX(ETAPP!B$1:B$32,MATCH(COUNTIF(BI35:BR35,1),ETAPP!A$1:A$32,0))&amp;INDEX(ETAPP!B$1:B$32,MATCH(COUNTIF(BI35:BR35,2),ETAPP!A$1:A$32,0))&amp;INDEX(ETAPP!B$1:B$32,MATCH(COUNTIF(BI35:BR35,3),ETAPP!A$1:A$32,0))&amp;INDEX(ETAPP!B$1:B$32,MATCH(COUNTIF(BI35:BR35,4),ETAPP!A$1:A$32,0))&amp;INDEX(ETAPP!B$1:B$32,MATCH(COUNTIF(BI35:BR35,5),ETAPP!A$1:A$32,0))&amp;INDEX(ETAPP!B$1:B$32,MATCH(COUNTIF(BI35:BR35,6),ETAPP!A$1:A$32,0))&amp;INDEX(ETAPP!B$1:B$32,MATCH(COUNTIF(BI35:BR35,7),ETAPP!A$1:A$32,0))&amp;INDEX(ETAPP!B$1:B$32,MATCH(COUNTIF(BI35:BR35,8),ETAPP!A$1:A$32,0))&amp;INDEX(ETAPP!B$1:B$32,MATCH(COUNTIF(BI35:BR35,9),ETAPP!A$1:A$32,0))&amp;INDEX(ETAPP!B$1:B$32,MATCH(COUNTIF(BI35:BR35,10),ETAPP!A$1:A$32,0))&amp;INDEX(ETAPP!B$1:B$32,MATCH(COUNTIF(BI35:BR35,11),ETAPP!A$1:A$32,0))&amp;INDEX(ETAPP!B$1:B$32,MATCH(COUNTIF(BI35:BR35,12),ETAPP!A$1:A$32,0))&amp;INDEX(ETAPP!B$1:B$32,MATCH(COUNTIF(BI35:BR35,13),ETAPP!A$1:A$32,0))&amp;INDEX(ETAPP!B$1:B$32,MATCH(COUNTIF(BI35:BR35,14),ETAPP!A$1:A$32,0))&amp;INDEX(ETAPP!B$1:B$32,MATCH(COUNTIF(BI35:BR35,15),ETAPP!A$1:A$32,0))&amp;INDEX(ETAPP!B$1:B$32,MATCH(COUNTIF(BI35:BR35,16),ETAPP!A$1:A$32,0))&amp;INDEX(ETAPP!B$1:B$32,MATCH(COUNTIF(BI35:BR35,17),ETAPP!A$1:A$32,0))&amp;INDEX(ETAPP!B$1:B$32,MATCH(COUNTIF(BI35:BR35,18),ETAPP!A$1:A$32,0))&amp;INDEX(ETAPP!B$1:B$32,MATCH(COUNTIF(BI35:BR35,19),ETAPP!A$1:A$32,0))&amp;INDEX(ETAPP!B$1:B$32,MATCH(COUNTIF(BI35:BR35,20),ETAPP!A$1:A$32,0))&amp;INDEX(ETAPP!B$1:B$32,MATCH(COUNTIF(BI35:BR35,21),ETAPP!A$1:A$32,0))</f>
        <v>000A00000000000000000</v>
      </c>
      <c r="T35" s="111" t="str">
        <f t="shared" si="12"/>
        <v>029,0-000A00000000000000000</v>
      </c>
      <c r="U35" s="111">
        <f t="shared" si="13"/>
        <v>29</v>
      </c>
      <c r="V35" s="111">
        <f t="shared" si="14"/>
        <v>17</v>
      </c>
      <c r="W35" s="111" t="str">
        <f t="shared" si="15"/>
        <v>029,0-000A00000000000000000-017</v>
      </c>
      <c r="X35" s="111">
        <f t="shared" si="16"/>
        <v>29</v>
      </c>
      <c r="Y35" s="112">
        <f t="shared" si="17"/>
        <v>17</v>
      </c>
      <c r="Z35" s="113" t="str">
        <f>IFERROR(INDEX('V1'!C$300:C$400,MATCH("*"&amp;L35&amp;"*",'V1'!B$300:B$400,0)),"  ")</f>
        <v xml:space="preserve">  </v>
      </c>
      <c r="AA35" s="113" t="str">
        <f>IFERROR(INDEX('V2'!C$300:C$389,MATCH("*"&amp;L35&amp;"*",'V2'!B$300:B$389,0)),"  ")</f>
        <v xml:space="preserve">  </v>
      </c>
      <c r="AB35" s="113" t="str">
        <f>IFERROR(INDEX('V3'!C$300:C$399,MATCH("*"&amp;L35&amp;"*",'V3'!B$300:B$399,0)),"  ")</f>
        <v xml:space="preserve">  </v>
      </c>
      <c r="AC35" s="113" t="str">
        <f>IFERROR(INDEX('V4'!C$300:C$400,MATCH("*"&amp;L35&amp;"*",'V4'!B$300:B$400,0)),"  ")</f>
        <v xml:space="preserve">  </v>
      </c>
      <c r="AD35" s="113" t="str">
        <f>IFERROR(INDEX('V5'!C$300:C$400,MATCH("*"&amp;L35&amp;"*",'V5'!B$300:B$400,0)),"  ")</f>
        <v xml:space="preserve">  </v>
      </c>
      <c r="AE35" s="113">
        <f>IFERROR(INDEX('V6'!C$300:C$400,MATCH("*"&amp;L35&amp;"*",'V6'!B$300:B$400,0)),"  ")</f>
        <v>20</v>
      </c>
      <c r="AF35" s="113">
        <f>IFERROR(INDEX('V7'!C$300:C$400,MATCH("*"&amp;L35&amp;"*",'V7'!B$300:B$400,0)),"  ")</f>
        <v>9</v>
      </c>
      <c r="AG35" s="113" t="str">
        <f>IFERROR(INDEX('V8'!C$300:C$400,MATCH("*"&amp;L35&amp;"*",'V8'!B$300:B$400,0)),"  ")</f>
        <v xml:space="preserve">  </v>
      </c>
      <c r="AH35" s="113" t="str">
        <f>IFERROR(INDEX('V9'!C$300:C$400,MATCH("*"&amp;L35&amp;"*",'V9'!B$300:B$400,0)),"  ")</f>
        <v xml:space="preserve">  </v>
      </c>
      <c r="AI35" s="113" t="str">
        <f>IFERROR(INDEX('V10'!C$300:C$400,MATCH("*"&amp;L35&amp;"*",'V10'!B$300:B$400,0)),"  ")</f>
        <v xml:space="preserve">  </v>
      </c>
      <c r="AJ35" s="114" t="str">
        <f t="shared" si="18"/>
        <v/>
      </c>
      <c r="AK35" s="346">
        <f t="shared" si="19"/>
        <v>29</v>
      </c>
      <c r="AL35" s="115">
        <f t="shared" si="20"/>
        <v>29</v>
      </c>
      <c r="AM35" s="116" t="str">
        <f>IFERROR(INDEX(#REF!,MATCH("*"&amp;L35&amp;"*",#REF!,0)),"  ")</f>
        <v xml:space="preserve">  </v>
      </c>
      <c r="AN35" s="117">
        <f t="shared" si="21"/>
        <v>2</v>
      </c>
      <c r="AO35" s="118">
        <f t="shared" si="22"/>
        <v>0</v>
      </c>
      <c r="AP35" s="118">
        <f t="shared" si="23"/>
        <v>0</v>
      </c>
      <c r="AQ35" s="48"/>
      <c r="AT35" s="119">
        <f t="shared" si="24"/>
        <v>1E-4</v>
      </c>
      <c r="AU35" s="120">
        <f t="shared" si="25"/>
        <v>1E-4</v>
      </c>
      <c r="AV35" s="120">
        <f t="shared" si="26"/>
        <v>2.0000000000000001E-4</v>
      </c>
      <c r="AW35" s="120">
        <f t="shared" si="27"/>
        <v>2.9999999999999997E-4</v>
      </c>
      <c r="AX35" s="120">
        <f t="shared" si="28"/>
        <v>4.0000000000000002E-4</v>
      </c>
      <c r="AY35" s="120">
        <f t="shared" si="29"/>
        <v>5.0000000000000001E-4</v>
      </c>
      <c r="AZ35" s="120">
        <f t="shared" si="30"/>
        <v>20.000599999999999</v>
      </c>
      <c r="BA35" s="120">
        <f t="shared" si="31"/>
        <v>9.0007000000000001</v>
      </c>
      <c r="BB35" s="120">
        <f t="shared" si="32"/>
        <v>8.0000000000000004E-4</v>
      </c>
      <c r="BC35" s="120">
        <f t="shared" si="33"/>
        <v>8.9999999999999998E-4</v>
      </c>
      <c r="BD35" s="120">
        <f t="shared" si="34"/>
        <v>1E-3</v>
      </c>
      <c r="BI35" s="1" t="e">
        <f t="shared" si="35"/>
        <v>#VALUE!</v>
      </c>
      <c r="BJ35" s="1" t="e">
        <f t="shared" si="36"/>
        <v>#VALUE!</v>
      </c>
      <c r="BK35" s="1" t="e">
        <f t="shared" si="37"/>
        <v>#VALUE!</v>
      </c>
      <c r="BL35" s="1" t="e">
        <f t="shared" si="38"/>
        <v>#VALUE!</v>
      </c>
      <c r="BM35" s="1" t="e">
        <f t="shared" si="39"/>
        <v>#VALUE!</v>
      </c>
      <c r="BN35" s="1">
        <f t="shared" si="40"/>
        <v>4</v>
      </c>
      <c r="BO35" s="1">
        <f t="shared" si="41"/>
        <v>5.5</v>
      </c>
      <c r="BP35" s="1" t="e">
        <f t="shared" si="42"/>
        <v>#VALUE!</v>
      </c>
      <c r="BQ35" s="1" t="e">
        <f t="shared" si="43"/>
        <v>#VALUE!</v>
      </c>
      <c r="BR35" s="1" t="e">
        <f t="shared" si="44"/>
        <v>#VALUE!</v>
      </c>
    </row>
    <row r="36" spans="1:70" x14ac:dyDescent="0.2">
      <c r="A36" s="719">
        <f t="shared" si="1"/>
        <v>24</v>
      </c>
      <c r="B36" s="99">
        <f t="shared" si="2"/>
        <v>30</v>
      </c>
      <c r="C36" s="354">
        <f t="shared" si="3"/>
        <v>12</v>
      </c>
      <c r="D36" s="316">
        <f t="shared" si="4"/>
        <v>30</v>
      </c>
      <c r="E36" s="100">
        <f t="shared" si="5"/>
        <v>24</v>
      </c>
      <c r="F36" s="99">
        <f t="shared" si="6"/>
        <v>30</v>
      </c>
      <c r="G36" s="101" t="str">
        <f t="shared" si="7"/>
        <v/>
      </c>
      <c r="H36" s="99">
        <f t="shared" si="8"/>
        <v>-970</v>
      </c>
      <c r="I36" s="102" t="str">
        <f t="shared" si="9"/>
        <v/>
      </c>
      <c r="J36" s="103">
        <f t="shared" si="10"/>
        <v>-970</v>
      </c>
      <c r="K36" s="70">
        <f t="shared" si="11"/>
        <v>30</v>
      </c>
      <c r="L36" s="123" t="s">
        <v>39</v>
      </c>
      <c r="M36" s="105"/>
      <c r="N36" s="106" t="str">
        <f t="shared" si="45"/>
        <v>m</v>
      </c>
      <c r="O36" s="107"/>
      <c r="P36" s="108" t="s">
        <v>233</v>
      </c>
      <c r="Q36" s="109" t="s">
        <v>86</v>
      </c>
      <c r="R36" s="110">
        <f>(IF(COUNT(Z36,AA36,AB36,AC36,AD36,AE36,AF36,AG36,AH36,AI36)&lt;10,SUM(Z36,AA36,AB36,AC36,AD36,AE36,AF36,AG36,AH36,AI36),SUM(LARGE((Z36,AA36,AB36,AC36,AD36,AE36,AF36,AG36,AH36,AI36),{1;2;3;4;5;6;7;8;9}))))</f>
        <v>27</v>
      </c>
      <c r="S36" s="111" t="str">
        <f>INDEX(ETAPP!B$1:B$32,MATCH(COUNTIF(BI36:BR36,1),ETAPP!A$1:A$32,0))&amp;INDEX(ETAPP!B$1:B$32,MATCH(COUNTIF(BI36:BR36,2),ETAPP!A$1:A$32,0))&amp;INDEX(ETAPP!B$1:B$32,MATCH(COUNTIF(BI36:BR36,3),ETAPP!A$1:A$32,0))&amp;INDEX(ETAPP!B$1:B$32,MATCH(COUNTIF(BI36:BR36,4),ETAPP!A$1:A$32,0))&amp;INDEX(ETAPP!B$1:B$32,MATCH(COUNTIF(BI36:BR36,5),ETAPP!A$1:A$32,0))&amp;INDEX(ETAPP!B$1:B$32,MATCH(COUNTIF(BI36:BR36,6),ETAPP!A$1:A$32,0))&amp;INDEX(ETAPP!B$1:B$32,MATCH(COUNTIF(BI36:BR36,7),ETAPP!A$1:A$32,0))&amp;INDEX(ETAPP!B$1:B$32,MATCH(COUNTIF(BI36:BR36,8),ETAPP!A$1:A$32,0))&amp;INDEX(ETAPP!B$1:B$32,MATCH(COUNTIF(BI36:BR36,9),ETAPP!A$1:A$32,0))&amp;INDEX(ETAPP!B$1:B$32,MATCH(COUNTIF(BI36:BR36,10),ETAPP!A$1:A$32,0))&amp;INDEX(ETAPP!B$1:B$32,MATCH(COUNTIF(BI36:BR36,11),ETAPP!A$1:A$32,0))&amp;INDEX(ETAPP!B$1:B$32,MATCH(COUNTIF(BI36:BR36,12),ETAPP!A$1:A$32,0))&amp;INDEX(ETAPP!B$1:B$32,MATCH(COUNTIF(BI36:BR36,13),ETAPP!A$1:A$32,0))&amp;INDEX(ETAPP!B$1:B$32,MATCH(COUNTIF(BI36:BR36,14),ETAPP!A$1:A$32,0))&amp;INDEX(ETAPP!B$1:B$32,MATCH(COUNTIF(BI36:BR36,15),ETAPP!A$1:A$32,0))&amp;INDEX(ETAPP!B$1:B$32,MATCH(COUNTIF(BI36:BR36,16),ETAPP!A$1:A$32,0))&amp;INDEX(ETAPP!B$1:B$32,MATCH(COUNTIF(BI36:BR36,17),ETAPP!A$1:A$32,0))&amp;INDEX(ETAPP!B$1:B$32,MATCH(COUNTIF(BI36:BR36,18),ETAPP!A$1:A$32,0))&amp;INDEX(ETAPP!B$1:B$32,MATCH(COUNTIF(BI36:BR36,19),ETAPP!A$1:A$32,0))&amp;INDEX(ETAPP!B$1:B$32,MATCH(COUNTIF(BI36:BR36,20),ETAPP!A$1:A$32,0))&amp;INDEX(ETAPP!B$1:B$32,MATCH(COUNTIF(BI36:BR36,21),ETAPP!A$1:A$32,0))</f>
        <v>000A00000A00000000000</v>
      </c>
      <c r="T36" s="111" t="str">
        <f t="shared" si="12"/>
        <v>027,0-000A00000A00000000000</v>
      </c>
      <c r="U36" s="111">
        <f t="shared" si="13"/>
        <v>30</v>
      </c>
      <c r="V36" s="111">
        <f t="shared" si="14"/>
        <v>25</v>
      </c>
      <c r="W36" s="111" t="str">
        <f t="shared" si="15"/>
        <v>027,0-000A00000A00000000000-025</v>
      </c>
      <c r="X36" s="111">
        <f t="shared" si="16"/>
        <v>30</v>
      </c>
      <c r="Y36" s="112">
        <f t="shared" si="17"/>
        <v>16</v>
      </c>
      <c r="Z36" s="113" t="str">
        <f>IFERROR(INDEX('V1'!C$300:C$400,MATCH("*"&amp;L36&amp;"*",'V1'!B$300:B$400,0)),"  ")</f>
        <v xml:space="preserve">  </v>
      </c>
      <c r="AA36" s="113" t="str">
        <f>IFERROR(INDEX('V2'!C$300:C$389,MATCH("*"&amp;L36&amp;"*",'V2'!B$300:B$389,0)),"  ")</f>
        <v xml:space="preserve">  </v>
      </c>
      <c r="AB36" s="113" t="str">
        <f>IFERROR(INDEX('V3'!C$300:C$399,MATCH("*"&amp;L36&amp;"*",'V3'!B$300:B$399,0)),"  ")</f>
        <v xml:space="preserve">  </v>
      </c>
      <c r="AC36" s="113" t="str">
        <f>IFERROR(INDEX('V4'!C$300:C$400,MATCH("*"&amp;L36&amp;"*",'V4'!B$300:B$400,0)),"  ")</f>
        <v xml:space="preserve">  </v>
      </c>
      <c r="AD36" s="113" t="str">
        <f>IFERROR(INDEX('V5'!C$300:C$400,MATCH("*"&amp;L36&amp;"*",'V5'!B$300:B$400,0)),"  ")</f>
        <v xml:space="preserve">  </v>
      </c>
      <c r="AE36" s="113" t="str">
        <f>IFERROR(INDEX('V6'!C$300:C$400,MATCH("*"&amp;L36&amp;"*",'V6'!B$300:B$400,0)),"  ")</f>
        <v xml:space="preserve">  </v>
      </c>
      <c r="AF36" s="113">
        <f>IFERROR(INDEX('V7'!C$300:C$400,MATCH("*"&amp;L36&amp;"*",'V7'!B$300:B$400,0)),"  ")</f>
        <v>3</v>
      </c>
      <c r="AG36" s="113">
        <f>IFERROR(INDEX('V8'!C$300:C$400,MATCH("*"&amp;L36&amp;"*",'V8'!B$300:B$400,0)),"  ")</f>
        <v>21</v>
      </c>
      <c r="AH36" s="113" t="str">
        <f>IFERROR(INDEX('V9'!C$300:C$400,MATCH("*"&amp;L36&amp;"*",'V9'!B$300:B$400,0)),"  ")</f>
        <v xml:space="preserve">  </v>
      </c>
      <c r="AI36" s="113">
        <f>IFERROR(INDEX('V10'!C$300:C$400,MATCH("*"&amp;L36&amp;"*",'V10'!B$300:B$400,0)),"  ")</f>
        <v>3</v>
      </c>
      <c r="AJ36" s="114">
        <f t="shared" si="18"/>
        <v>30</v>
      </c>
      <c r="AK36" s="346">
        <f t="shared" si="19"/>
        <v>27</v>
      </c>
      <c r="AL36" s="115" t="str">
        <f t="shared" si="20"/>
        <v>edasi 26</v>
      </c>
      <c r="AM36" s="116" t="str">
        <f>IFERROR(INDEX(#REF!,MATCH("*"&amp;L36&amp;"*",#REF!,0)),"  ")</f>
        <v xml:space="preserve">  </v>
      </c>
      <c r="AN36" s="117">
        <f t="shared" si="21"/>
        <v>3</v>
      </c>
      <c r="AO36" s="118">
        <f t="shared" si="22"/>
        <v>1</v>
      </c>
      <c r="AP36" s="118">
        <f t="shared" si="23"/>
        <v>0</v>
      </c>
      <c r="AQ36" s="122"/>
      <c r="AT36" s="119">
        <f t="shared" si="24"/>
        <v>1E-4</v>
      </c>
      <c r="AU36" s="120">
        <f t="shared" si="25"/>
        <v>1E-4</v>
      </c>
      <c r="AV36" s="120">
        <f t="shared" si="26"/>
        <v>2.0000000000000001E-4</v>
      </c>
      <c r="AW36" s="120">
        <f t="shared" si="27"/>
        <v>2.9999999999999997E-4</v>
      </c>
      <c r="AX36" s="120">
        <f t="shared" si="28"/>
        <v>4.0000000000000002E-4</v>
      </c>
      <c r="AY36" s="120">
        <f t="shared" si="29"/>
        <v>5.0000000000000001E-4</v>
      </c>
      <c r="AZ36" s="120">
        <f t="shared" si="30"/>
        <v>5.9999999999999995E-4</v>
      </c>
      <c r="BA36" s="120">
        <f t="shared" si="31"/>
        <v>3.0007000000000001</v>
      </c>
      <c r="BB36" s="120">
        <f t="shared" si="32"/>
        <v>21.000800000000002</v>
      </c>
      <c r="BC36" s="120">
        <f t="shared" si="33"/>
        <v>8.9999999999999998E-4</v>
      </c>
      <c r="BD36" s="120">
        <f t="shared" si="34"/>
        <v>3.0009999999999999</v>
      </c>
      <c r="BI36" s="1" t="e">
        <f t="shared" si="35"/>
        <v>#VALUE!</v>
      </c>
      <c r="BJ36" s="1" t="e">
        <f t="shared" si="36"/>
        <v>#VALUE!</v>
      </c>
      <c r="BK36" s="1" t="e">
        <f t="shared" si="37"/>
        <v>#VALUE!</v>
      </c>
      <c r="BL36" s="1" t="e">
        <f t="shared" si="38"/>
        <v>#VALUE!</v>
      </c>
      <c r="BM36" s="1" t="e">
        <f t="shared" si="39"/>
        <v>#VALUE!</v>
      </c>
      <c r="BN36" s="1" t="e">
        <f t="shared" si="40"/>
        <v>#VALUE!</v>
      </c>
      <c r="BO36" s="1">
        <f t="shared" si="41"/>
        <v>8.5</v>
      </c>
      <c r="BP36" s="1">
        <f t="shared" si="42"/>
        <v>4</v>
      </c>
      <c r="BQ36" s="1" t="e">
        <f t="shared" si="43"/>
        <v>#VALUE!</v>
      </c>
      <c r="BR36" s="1">
        <f t="shared" si="44"/>
        <v>10</v>
      </c>
    </row>
    <row r="37" spans="1:70" x14ac:dyDescent="0.2">
      <c r="A37" s="719">
        <f t="shared" si="1"/>
        <v>25</v>
      </c>
      <c r="B37" s="99">
        <f t="shared" si="2"/>
        <v>31</v>
      </c>
      <c r="C37" s="354">
        <f t="shared" si="3"/>
        <v>13</v>
      </c>
      <c r="D37" s="316">
        <f t="shared" si="4"/>
        <v>31</v>
      </c>
      <c r="E37" s="100">
        <f t="shared" si="5"/>
        <v>25</v>
      </c>
      <c r="F37" s="99">
        <f t="shared" si="6"/>
        <v>31</v>
      </c>
      <c r="G37" s="101" t="str">
        <f t="shared" si="7"/>
        <v/>
      </c>
      <c r="H37" s="99">
        <f t="shared" si="8"/>
        <v>-969</v>
      </c>
      <c r="I37" s="102" t="str">
        <f t="shared" si="9"/>
        <v/>
      </c>
      <c r="J37" s="103">
        <f t="shared" si="10"/>
        <v>-969</v>
      </c>
      <c r="K37" s="70">
        <f t="shared" si="11"/>
        <v>31</v>
      </c>
      <c r="L37" s="123" t="s">
        <v>103</v>
      </c>
      <c r="M37" s="105"/>
      <c r="N37" s="106" t="str">
        <f t="shared" si="45"/>
        <v>m</v>
      </c>
      <c r="O37" s="107"/>
      <c r="P37" s="108" t="s">
        <v>233</v>
      </c>
      <c r="Q37" s="109" t="s">
        <v>86</v>
      </c>
      <c r="R37" s="110">
        <f>(IF(COUNT(Z37,AA37,AB37,AC37,AD37,AE37,AF37,AG37,AH37,AI37)&lt;10,SUM(Z37,AA37,AB37,AC37,AD37,AE37,AF37,AG37,AH37,AI37),SUM(LARGE((Z37,AA37,AB37,AC37,AD37,AE37,AF37,AG37,AH37,AI37),{1;2;3;4;5;6;7;8;9}))))</f>
        <v>25</v>
      </c>
      <c r="S37" s="111" t="str">
        <f>INDEX(ETAPP!B$1:B$32,MATCH(COUNTIF(BI37:BR37,1),ETAPP!A$1:A$32,0))&amp;INDEX(ETAPP!B$1:B$32,MATCH(COUNTIF(BI37:BR37,2),ETAPP!A$1:A$32,0))&amp;INDEX(ETAPP!B$1:B$32,MATCH(COUNTIF(BI37:BR37,3),ETAPP!A$1:A$32,0))&amp;INDEX(ETAPP!B$1:B$32,MATCH(COUNTIF(BI37:BR37,4),ETAPP!A$1:A$32,0))&amp;INDEX(ETAPP!B$1:B$32,MATCH(COUNTIF(BI37:BR37,5),ETAPP!A$1:A$32,0))&amp;INDEX(ETAPP!B$1:B$32,MATCH(COUNTIF(BI37:BR37,6),ETAPP!A$1:A$32,0))&amp;INDEX(ETAPP!B$1:B$32,MATCH(COUNTIF(BI37:BR37,7),ETAPP!A$1:A$32,0))&amp;INDEX(ETAPP!B$1:B$32,MATCH(COUNTIF(BI37:BR37,8),ETAPP!A$1:A$32,0))&amp;INDEX(ETAPP!B$1:B$32,MATCH(COUNTIF(BI37:BR37,9),ETAPP!A$1:A$32,0))&amp;INDEX(ETAPP!B$1:B$32,MATCH(COUNTIF(BI37:BR37,10),ETAPP!A$1:A$32,0))&amp;INDEX(ETAPP!B$1:B$32,MATCH(COUNTIF(BI37:BR37,11),ETAPP!A$1:A$32,0))&amp;INDEX(ETAPP!B$1:B$32,MATCH(COUNTIF(BI37:BR37,12),ETAPP!A$1:A$32,0))&amp;INDEX(ETAPP!B$1:B$32,MATCH(COUNTIF(BI37:BR37,13),ETAPP!A$1:A$32,0))&amp;INDEX(ETAPP!B$1:B$32,MATCH(COUNTIF(BI37:BR37,14),ETAPP!A$1:A$32,0))&amp;INDEX(ETAPP!B$1:B$32,MATCH(COUNTIF(BI37:BR37,15),ETAPP!A$1:A$32,0))&amp;INDEX(ETAPP!B$1:B$32,MATCH(COUNTIF(BI37:BR37,16),ETAPP!A$1:A$32,0))&amp;INDEX(ETAPP!B$1:B$32,MATCH(COUNTIF(BI37:BR37,17),ETAPP!A$1:A$32,0))&amp;INDEX(ETAPP!B$1:B$32,MATCH(COUNTIF(BI37:BR37,18),ETAPP!A$1:A$32,0))&amp;INDEX(ETAPP!B$1:B$32,MATCH(COUNTIF(BI37:BR37,19),ETAPP!A$1:A$32,0))&amp;INDEX(ETAPP!B$1:B$32,MATCH(COUNTIF(BI37:BR37,20),ETAPP!A$1:A$32,0))&amp;INDEX(ETAPP!B$1:B$32,MATCH(COUNTIF(BI37:BR37,21),ETAPP!A$1:A$32,0))</f>
        <v>000A00000AA0000000000</v>
      </c>
      <c r="T37" s="111" t="str">
        <f t="shared" si="12"/>
        <v>025,0-000A00000AA0000000000</v>
      </c>
      <c r="U37" s="111">
        <f t="shared" si="13"/>
        <v>31</v>
      </c>
      <c r="V37" s="111">
        <f t="shared" si="14"/>
        <v>31</v>
      </c>
      <c r="W37" s="111" t="str">
        <f t="shared" si="15"/>
        <v>025,0-000A00000AA0000000000-031</v>
      </c>
      <c r="X37" s="111">
        <f t="shared" si="16"/>
        <v>31</v>
      </c>
      <c r="Y37" s="112">
        <f t="shared" si="17"/>
        <v>15</v>
      </c>
      <c r="Z37" s="113" t="str">
        <f>IFERROR(INDEX('V1'!C$300:C$400,MATCH("*"&amp;L37&amp;"*",'V1'!B$300:B$400,0)),"  ")</f>
        <v xml:space="preserve">  </v>
      </c>
      <c r="AA37" s="113">
        <f>IFERROR(INDEX('V2'!C$300:C$389,MATCH("*"&amp;L37&amp;"*",'V2'!B$300:B$389,0)),"  ")</f>
        <v>3</v>
      </c>
      <c r="AB37" s="113">
        <f>IFERROR(INDEX('V3'!C$300:C$399,MATCH("*"&amp;L37&amp;"*",'V3'!B$300:B$399,0)),"  ")</f>
        <v>4</v>
      </c>
      <c r="AC37" s="113">
        <f>IFERROR(INDEX('V4'!C$300:C$400,MATCH("*"&amp;L37&amp;"*",'V4'!B$300:B$400,0)),"  ")</f>
        <v>15</v>
      </c>
      <c r="AD37" s="113" t="str">
        <f>IFERROR(INDEX('V5'!C$300:C$400,MATCH("*"&amp;L37&amp;"*",'V5'!B$300:B$400,0)),"  ")</f>
        <v xml:space="preserve">  </v>
      </c>
      <c r="AE37" s="113" t="str">
        <f>IFERROR(INDEX('V6'!C$300:C$400,MATCH("*"&amp;L37&amp;"*",'V6'!B$300:B$400,0)),"  ")</f>
        <v xml:space="preserve">  </v>
      </c>
      <c r="AF37" s="113">
        <f>IFERROR(INDEX('V7'!C$300:C$400,MATCH("*"&amp;L37&amp;"*",'V7'!B$300:B$400,0)),"  ")</f>
        <v>3</v>
      </c>
      <c r="AG37" s="113" t="str">
        <f>IFERROR(INDEX('V8'!C$300:C$400,MATCH("*"&amp;L37&amp;"*",'V8'!B$300:B$400,0)),"  ")</f>
        <v xml:space="preserve">  </v>
      </c>
      <c r="AH37" s="113" t="str">
        <f>IFERROR(INDEX('V9'!C$300:C$400,MATCH("*"&amp;L37&amp;"*",'V9'!B$300:B$400,0)),"  ")</f>
        <v xml:space="preserve">  </v>
      </c>
      <c r="AI37" s="113" t="str">
        <f>IFERROR(INDEX('V10'!C$300:C$400,MATCH("*"&amp;L37&amp;"*",'V10'!B$300:B$400,0)),"  ")</f>
        <v xml:space="preserve">  </v>
      </c>
      <c r="AJ37" s="114">
        <f t="shared" si="18"/>
        <v>31</v>
      </c>
      <c r="AK37" s="346">
        <f t="shared" si="19"/>
        <v>25</v>
      </c>
      <c r="AL37" s="115" t="str">
        <f t="shared" si="20"/>
        <v>edasi 27</v>
      </c>
      <c r="AM37" s="116" t="str">
        <f>IFERROR(INDEX(#REF!,MATCH("*"&amp;L37&amp;"*",#REF!,0)),"  ")</f>
        <v xml:space="preserve">  </v>
      </c>
      <c r="AN37" s="117">
        <f t="shared" si="21"/>
        <v>4</v>
      </c>
      <c r="AO37" s="118">
        <f t="shared" si="22"/>
        <v>1</v>
      </c>
      <c r="AP37" s="118">
        <f t="shared" si="23"/>
        <v>0</v>
      </c>
      <c r="AQ37" s="122"/>
      <c r="AT37" s="119">
        <f t="shared" si="24"/>
        <v>1E-4</v>
      </c>
      <c r="AU37" s="120">
        <f t="shared" si="25"/>
        <v>1E-4</v>
      </c>
      <c r="AV37" s="120">
        <f t="shared" si="26"/>
        <v>3.0002</v>
      </c>
      <c r="AW37" s="120">
        <f t="shared" si="27"/>
        <v>4.0003000000000002</v>
      </c>
      <c r="AX37" s="120">
        <f t="shared" si="28"/>
        <v>15.000400000000001</v>
      </c>
      <c r="AY37" s="120">
        <f t="shared" si="29"/>
        <v>5.0000000000000001E-4</v>
      </c>
      <c r="AZ37" s="120">
        <f t="shared" si="30"/>
        <v>5.9999999999999995E-4</v>
      </c>
      <c r="BA37" s="120">
        <f t="shared" si="31"/>
        <v>3.0007000000000001</v>
      </c>
      <c r="BB37" s="120">
        <f t="shared" si="32"/>
        <v>8.0000000000000004E-4</v>
      </c>
      <c r="BC37" s="120">
        <f t="shared" si="33"/>
        <v>8.9999999999999998E-4</v>
      </c>
      <c r="BD37" s="120">
        <f t="shared" si="34"/>
        <v>1E-3</v>
      </c>
      <c r="BE37" s="122"/>
      <c r="BI37" s="1" t="e">
        <f t="shared" si="35"/>
        <v>#VALUE!</v>
      </c>
      <c r="BJ37" s="1">
        <f t="shared" si="36"/>
        <v>10</v>
      </c>
      <c r="BK37" s="1">
        <f t="shared" si="37"/>
        <v>11</v>
      </c>
      <c r="BL37" s="1">
        <f t="shared" si="38"/>
        <v>4</v>
      </c>
      <c r="BM37" s="1" t="e">
        <f t="shared" si="39"/>
        <v>#VALUE!</v>
      </c>
      <c r="BN37" s="1" t="e">
        <f t="shared" si="40"/>
        <v>#VALUE!</v>
      </c>
      <c r="BO37" s="1">
        <f t="shared" si="41"/>
        <v>8.5</v>
      </c>
      <c r="BP37" s="1" t="e">
        <f t="shared" si="42"/>
        <v>#VALUE!</v>
      </c>
      <c r="BQ37" s="1" t="e">
        <f t="shared" si="43"/>
        <v>#VALUE!</v>
      </c>
      <c r="BR37" s="1" t="e">
        <f t="shared" si="44"/>
        <v>#VALUE!</v>
      </c>
    </row>
    <row r="38" spans="1:70" ht="12.75" customHeight="1" x14ac:dyDescent="0.2">
      <c r="A38" s="719">
        <f t="shared" si="1"/>
        <v>26</v>
      </c>
      <c r="B38" s="99">
        <f t="shared" si="2"/>
        <v>32</v>
      </c>
      <c r="C38" s="354" t="str">
        <f t="shared" si="3"/>
        <v/>
      </c>
      <c r="D38" s="316">
        <f t="shared" si="4"/>
        <v>-968</v>
      </c>
      <c r="E38" s="100" t="str">
        <f t="shared" si="5"/>
        <v/>
      </c>
      <c r="F38" s="99">
        <f t="shared" si="6"/>
        <v>-968</v>
      </c>
      <c r="G38" s="101">
        <f t="shared" si="7"/>
        <v>7</v>
      </c>
      <c r="H38" s="99">
        <f t="shared" si="8"/>
        <v>32</v>
      </c>
      <c r="I38" s="102">
        <f t="shared" si="9"/>
        <v>3</v>
      </c>
      <c r="J38" s="103">
        <f t="shared" si="10"/>
        <v>32</v>
      </c>
      <c r="K38" s="70">
        <f t="shared" si="11"/>
        <v>32</v>
      </c>
      <c r="L38" s="349" t="s">
        <v>281</v>
      </c>
      <c r="M38" s="296" t="s">
        <v>104</v>
      </c>
      <c r="N38" s="297"/>
      <c r="O38" s="343" t="s">
        <v>111</v>
      </c>
      <c r="P38" s="299"/>
      <c r="Q38" s="109" t="s">
        <v>86</v>
      </c>
      <c r="R38" s="110">
        <f>(IF(COUNT(Z38,AA38,AB38,AC38,AD38,AE38,AF38,AG38,AH38,AI38)&lt;10,SUM(Z38,AA38,AB38,AC38,AD38,AE38,AF38,AG38,AH38,AI38),SUM(LARGE((Z38,AA38,AB38,AC38,AD38,AE38,AF38,AG38,AH38,AI38),{1;2;3;4;5;6;7;8;9}))))</f>
        <v>25</v>
      </c>
      <c r="S38" s="111" t="str">
        <f>INDEX(ETAPP!B$1:B$32,MATCH(COUNTIF(BI38:BR38,1),ETAPP!A$1:A$32,0))&amp;INDEX(ETAPP!B$1:B$32,MATCH(COUNTIF(BI38:BR38,2),ETAPP!A$1:A$32,0))&amp;INDEX(ETAPP!B$1:B$32,MATCH(COUNTIF(BI38:BR38,3),ETAPP!A$1:A$32,0))&amp;INDEX(ETAPP!B$1:B$32,MATCH(COUNTIF(BI38:BR38,4),ETAPP!A$1:A$32,0))&amp;INDEX(ETAPP!B$1:B$32,MATCH(COUNTIF(BI38:BR38,5),ETAPP!A$1:A$32,0))&amp;INDEX(ETAPP!B$1:B$32,MATCH(COUNTIF(BI38:BR38,6),ETAPP!A$1:A$32,0))&amp;INDEX(ETAPP!B$1:B$32,MATCH(COUNTIF(BI38:BR38,7),ETAPP!A$1:A$32,0))&amp;INDEX(ETAPP!B$1:B$32,MATCH(COUNTIF(BI38:BR38,8),ETAPP!A$1:A$32,0))&amp;INDEX(ETAPP!B$1:B$32,MATCH(COUNTIF(BI38:BR38,9),ETAPP!A$1:A$32,0))&amp;INDEX(ETAPP!B$1:B$32,MATCH(COUNTIF(BI38:BR38,10),ETAPP!A$1:A$32,0))&amp;INDEX(ETAPP!B$1:B$32,MATCH(COUNTIF(BI38:BR38,11),ETAPP!A$1:A$32,0))&amp;INDEX(ETAPP!B$1:B$32,MATCH(COUNTIF(BI38:BR38,12),ETAPP!A$1:A$32,0))&amp;INDEX(ETAPP!B$1:B$32,MATCH(COUNTIF(BI38:BR38,13),ETAPP!A$1:A$32,0))&amp;INDEX(ETAPP!B$1:B$32,MATCH(COUNTIF(BI38:BR38,14),ETAPP!A$1:A$32,0))&amp;INDEX(ETAPP!B$1:B$32,MATCH(COUNTIF(BI38:BR38,15),ETAPP!A$1:A$32,0))&amp;INDEX(ETAPP!B$1:B$32,MATCH(COUNTIF(BI38:BR38,16),ETAPP!A$1:A$32,0))&amp;INDEX(ETAPP!B$1:B$32,MATCH(COUNTIF(BI38:BR38,17),ETAPP!A$1:A$32,0))&amp;INDEX(ETAPP!B$1:B$32,MATCH(COUNTIF(BI38:BR38,18),ETAPP!A$1:A$32,0))&amp;INDEX(ETAPP!B$1:B$32,MATCH(COUNTIF(BI38:BR38,19),ETAPP!A$1:A$32,0))&amp;INDEX(ETAPP!B$1:B$32,MATCH(COUNTIF(BI38:BR38,20),ETAPP!A$1:A$32,0))&amp;INDEX(ETAPP!B$1:B$32,MATCH(COUNTIF(BI38:BR38,21),ETAPP!A$1:A$32,0))</f>
        <v>000000000A0BA00000000</v>
      </c>
      <c r="T38" s="111" t="str">
        <f t="shared" si="12"/>
        <v>025,0-000000000A0BA00000000</v>
      </c>
      <c r="U38" s="111">
        <f t="shared" si="13"/>
        <v>32</v>
      </c>
      <c r="V38" s="111">
        <f t="shared" si="14"/>
        <v>43</v>
      </c>
      <c r="W38" s="111" t="str">
        <f t="shared" si="15"/>
        <v>025,0-000000000A0BA00000000-043</v>
      </c>
      <c r="X38" s="111">
        <f t="shared" si="16"/>
        <v>32</v>
      </c>
      <c r="Y38" s="112">
        <f t="shared" si="17"/>
        <v>14</v>
      </c>
      <c r="Z38" s="113" t="str">
        <f>IFERROR(INDEX('V1'!C$300:C$400,MATCH("*"&amp;L38&amp;"*",'V1'!B$300:B$400,0)),"  ")</f>
        <v xml:space="preserve">  </v>
      </c>
      <c r="AA38" s="113" t="str">
        <f>IFERROR(INDEX('V2'!C$300:C$389,MATCH("*"&amp;L38&amp;"*",'V2'!B$300:B$389,0)),"  ")</f>
        <v xml:space="preserve">  </v>
      </c>
      <c r="AB38" s="113">
        <f>IFERROR(INDEX('V3'!C$300:C$399,MATCH("*"&amp;L38&amp;"*",'V3'!B$300:B$399,0)),"  ")</f>
        <v>2</v>
      </c>
      <c r="AC38" s="113">
        <f>IFERROR(INDEX('V4'!C$300:C$400,MATCH("*"&amp;L38&amp;"*",'V4'!B$300:B$400,0)),"  ")</f>
        <v>6</v>
      </c>
      <c r="AD38" s="113">
        <f>IFERROR(INDEX('V5'!C$300:C$400,MATCH("*"&amp;L38&amp;"*",'V5'!B$300:B$400,0)),"  ")</f>
        <v>2</v>
      </c>
      <c r="AE38" s="113">
        <f>IFERROR(INDEX('V6'!C$300:C$400,MATCH("*"&amp;L38&amp;"*",'V6'!B$300:B$400,0)),"  ")</f>
        <v>4</v>
      </c>
      <c r="AF38" s="113" t="str">
        <f>IFERROR(INDEX('V7'!C$300:C$400,MATCH("*"&amp;L38&amp;"*",'V7'!B$300:B$400,0)),"  ")</f>
        <v xml:space="preserve">  </v>
      </c>
      <c r="AG38" s="113">
        <f>IFERROR(INDEX('V8'!C$300:C$400,MATCH("*"&amp;L38&amp;"*",'V8'!B$300:B$400,0)),"  ")</f>
        <v>9</v>
      </c>
      <c r="AH38" s="113">
        <f>IFERROR(INDEX('V9'!C$300:C$400,MATCH("*"&amp;L38&amp;"*",'V9'!B$300:B$400,0)),"  ")</f>
        <v>2</v>
      </c>
      <c r="AI38" s="113" t="str">
        <f>IFERROR(INDEX('V10'!C$300:C$400,MATCH("*"&amp;L38&amp;"*",'V10'!B$300:B$400,0)),"  ")</f>
        <v xml:space="preserve">  </v>
      </c>
      <c r="AJ38" s="114">
        <f t="shared" si="18"/>
        <v>32</v>
      </c>
      <c r="AK38" s="346">
        <f t="shared" si="19"/>
        <v>25</v>
      </c>
      <c r="AL38" s="115" t="str">
        <f t="shared" si="20"/>
        <v>edasi 28</v>
      </c>
      <c r="AM38" s="116" t="str">
        <f>IFERROR(INDEX(#REF!,MATCH("*"&amp;L38&amp;"*",#REF!,0)),"  ")</f>
        <v xml:space="preserve">  </v>
      </c>
      <c r="AN38" s="117">
        <f t="shared" si="21"/>
        <v>6</v>
      </c>
      <c r="AO38" s="118">
        <f t="shared" si="22"/>
        <v>0</v>
      </c>
      <c r="AP38" s="118">
        <f t="shared" si="23"/>
        <v>0</v>
      </c>
      <c r="AQ38" s="48"/>
      <c r="AT38" s="119">
        <f t="shared" si="24"/>
        <v>1E-4</v>
      </c>
      <c r="AU38" s="120">
        <f t="shared" si="25"/>
        <v>1E-4</v>
      </c>
      <c r="AV38" s="120">
        <f t="shared" si="26"/>
        <v>2.0000000000000001E-4</v>
      </c>
      <c r="AW38" s="120">
        <f t="shared" si="27"/>
        <v>2.0003000000000002</v>
      </c>
      <c r="AX38" s="120">
        <f t="shared" si="28"/>
        <v>6.0004</v>
      </c>
      <c r="AY38" s="120">
        <f t="shared" si="29"/>
        <v>2.0005000000000002</v>
      </c>
      <c r="AZ38" s="120">
        <f t="shared" si="30"/>
        <v>4.0006000000000004</v>
      </c>
      <c r="BA38" s="120">
        <f t="shared" si="31"/>
        <v>6.9999999999999999E-4</v>
      </c>
      <c r="BB38" s="120">
        <f t="shared" si="32"/>
        <v>9.0007999999999999</v>
      </c>
      <c r="BC38" s="120">
        <f t="shared" si="33"/>
        <v>2.0009000000000001</v>
      </c>
      <c r="BD38" s="120">
        <f t="shared" si="34"/>
        <v>1E-3</v>
      </c>
      <c r="BI38" s="1" t="e">
        <f t="shared" si="35"/>
        <v>#VALUE!</v>
      </c>
      <c r="BJ38" s="1" t="e">
        <f t="shared" si="36"/>
        <v>#VALUE!</v>
      </c>
      <c r="BK38" s="1">
        <f t="shared" si="37"/>
        <v>12</v>
      </c>
      <c r="BL38" s="1">
        <f t="shared" si="38"/>
        <v>8.5</v>
      </c>
      <c r="BM38" s="1">
        <f t="shared" si="39"/>
        <v>10.5</v>
      </c>
      <c r="BN38" s="1">
        <f t="shared" si="40"/>
        <v>12</v>
      </c>
      <c r="BO38" s="1" t="e">
        <f t="shared" si="41"/>
        <v>#VALUE!</v>
      </c>
      <c r="BP38" s="1">
        <f t="shared" si="42"/>
        <v>10</v>
      </c>
      <c r="BQ38" s="1">
        <f t="shared" si="43"/>
        <v>13</v>
      </c>
      <c r="BR38" s="1" t="e">
        <f t="shared" si="44"/>
        <v>#VALUE!</v>
      </c>
    </row>
    <row r="39" spans="1:70" ht="12.75" customHeight="1" x14ac:dyDescent="0.2">
      <c r="A39" s="719" t="str">
        <f t="shared" si="1"/>
        <v/>
      </c>
      <c r="B39" s="99">
        <f t="shared" si="2"/>
        <v>-967</v>
      </c>
      <c r="C39" s="354" t="str">
        <f t="shared" si="3"/>
        <v/>
      </c>
      <c r="D39" s="316">
        <f t="shared" si="4"/>
        <v>-967</v>
      </c>
      <c r="E39" s="100">
        <f t="shared" si="5"/>
        <v>26</v>
      </c>
      <c r="F39" s="99">
        <f t="shared" si="6"/>
        <v>33</v>
      </c>
      <c r="G39" s="101" t="str">
        <f t="shared" si="7"/>
        <v/>
      </c>
      <c r="H39" s="99">
        <f t="shared" si="8"/>
        <v>-967</v>
      </c>
      <c r="I39" s="102" t="str">
        <f t="shared" si="9"/>
        <v/>
      </c>
      <c r="J39" s="103">
        <f t="shared" si="10"/>
        <v>-967</v>
      </c>
      <c r="K39" s="70">
        <f t="shared" si="11"/>
        <v>33</v>
      </c>
      <c r="L39" s="925" t="s">
        <v>41</v>
      </c>
      <c r="M39" s="378"/>
      <c r="N39" s="379" t="s">
        <v>101</v>
      </c>
      <c r="O39" s="382"/>
      <c r="P39" s="380"/>
      <c r="Q39" s="381" t="s">
        <v>308</v>
      </c>
      <c r="R39" s="110">
        <f>(IF(COUNT(Z39,AA39,AB39,AC39,AD39,AE39,AF39,AG39,AH39,AI39)&lt;10,SUM(Z39,AA39,AB39,AC39,AD39,AE39,AF39,AG39,AH39,AI39),SUM(LARGE((Z39,AA39,AB39,AC39,AD39,AE39,AF39,AG39,AH39,AI39),{1;2;3;4;5;6;7;8;9}))))</f>
        <v>24</v>
      </c>
      <c r="S39" s="111" t="str">
        <f>INDEX(ETAPP!B$1:B$32,MATCH(COUNTIF(BI39:BR39,1),ETAPP!A$1:A$32,0))&amp;INDEX(ETAPP!B$1:B$32,MATCH(COUNTIF(BI39:BR39,2),ETAPP!A$1:A$32,0))&amp;INDEX(ETAPP!B$1:B$32,MATCH(COUNTIF(BI39:BR39,3),ETAPP!A$1:A$32,0))&amp;INDEX(ETAPP!B$1:B$32,MATCH(COUNTIF(BI39:BR39,4),ETAPP!A$1:A$32,0))&amp;INDEX(ETAPP!B$1:B$32,MATCH(COUNTIF(BI39:BR39,5),ETAPP!A$1:A$32,0))&amp;INDEX(ETAPP!B$1:B$32,MATCH(COUNTIF(BI39:BR39,6),ETAPP!A$1:A$32,0))&amp;INDEX(ETAPP!B$1:B$32,MATCH(COUNTIF(BI39:BR39,7),ETAPP!A$1:A$32,0))&amp;INDEX(ETAPP!B$1:B$32,MATCH(COUNTIF(BI39:BR39,8),ETAPP!A$1:A$32,0))&amp;INDEX(ETAPP!B$1:B$32,MATCH(COUNTIF(BI39:BR39,9),ETAPP!A$1:A$32,0))&amp;INDEX(ETAPP!B$1:B$32,MATCH(COUNTIF(BI39:BR39,10),ETAPP!A$1:A$32,0))&amp;INDEX(ETAPP!B$1:B$32,MATCH(COUNTIF(BI39:BR39,11),ETAPP!A$1:A$32,0))&amp;INDEX(ETAPP!B$1:B$32,MATCH(COUNTIF(BI39:BR39,12),ETAPP!A$1:A$32,0))&amp;INDEX(ETAPP!B$1:B$32,MATCH(COUNTIF(BI39:BR39,13),ETAPP!A$1:A$32,0))&amp;INDEX(ETAPP!B$1:B$32,MATCH(COUNTIF(BI39:BR39,14),ETAPP!A$1:A$32,0))&amp;INDEX(ETAPP!B$1:B$32,MATCH(COUNTIF(BI39:BR39,15),ETAPP!A$1:A$32,0))&amp;INDEX(ETAPP!B$1:B$32,MATCH(COUNTIF(BI39:BR39,16),ETAPP!A$1:A$32,0))&amp;INDEX(ETAPP!B$1:B$32,MATCH(COUNTIF(BI39:BR39,17),ETAPP!A$1:A$32,0))&amp;INDEX(ETAPP!B$1:B$32,MATCH(COUNTIF(BI39:BR39,18),ETAPP!A$1:A$32,0))&amp;INDEX(ETAPP!B$1:B$32,MATCH(COUNTIF(BI39:BR39,19),ETAPP!A$1:A$32,0))&amp;INDEX(ETAPP!B$1:B$32,MATCH(COUNTIF(BI39:BR39,20),ETAPP!A$1:A$32,0))&amp;INDEX(ETAPP!B$1:B$32,MATCH(COUNTIF(BI39:BR39,21),ETAPP!A$1:A$32,0))</f>
        <v>000000000A00000000000</v>
      </c>
      <c r="T39" s="111" t="str">
        <f t="shared" si="12"/>
        <v>024,0-000000000A00000000000</v>
      </c>
      <c r="U39" s="111">
        <f t="shared" si="13"/>
        <v>33</v>
      </c>
      <c r="V39" s="111">
        <f t="shared" si="14"/>
        <v>30</v>
      </c>
      <c r="W39" s="111" t="str">
        <f t="shared" si="15"/>
        <v>024,0-000000000A00000000000-030</v>
      </c>
      <c r="X39" s="111">
        <f t="shared" si="16"/>
        <v>33</v>
      </c>
      <c r="Y39" s="112">
        <f t="shared" si="17"/>
        <v>13</v>
      </c>
      <c r="Z39" s="113" t="str">
        <f>IFERROR(INDEX('V1'!C$300:C$400,MATCH("*"&amp;L39&amp;"*",'V1'!B$300:B$400,0)),"  ")</f>
        <v xml:space="preserve">  </v>
      </c>
      <c r="AA39" s="113" t="str">
        <f>IFERROR(INDEX('V2'!C$300:C$389,MATCH("*"&amp;L39&amp;"*",'V2'!B$300:B$389,0)),"  ")</f>
        <v xml:space="preserve">  </v>
      </c>
      <c r="AB39" s="113" t="str">
        <f>IFERROR(INDEX('V3'!C$300:C$399,MATCH("*"&amp;L39&amp;"*",'V3'!B$300:B$399,0)),"  ")</f>
        <v xml:space="preserve">  </v>
      </c>
      <c r="AC39" s="113" t="str">
        <f>IFERROR(INDEX('V4'!C$300:C$400,MATCH("*"&amp;L39&amp;"*",'V4'!B$300:B$400,0)),"  ")</f>
        <v xml:space="preserve">  </v>
      </c>
      <c r="AD39" s="113">
        <f>IFERROR(INDEX('V5'!C$300:C$400,MATCH("*"&amp;L39&amp;"*",'V5'!B$300:B$400,0)),"  ")</f>
        <v>16</v>
      </c>
      <c r="AE39" s="113">
        <f>IFERROR(INDEX('V6'!C$300:C$400,MATCH("*"&amp;L39&amp;"*",'V6'!B$300:B$400,0)),"  ")</f>
        <v>8</v>
      </c>
      <c r="AF39" s="113" t="str">
        <f>IFERROR(INDEX('V7'!C$300:C$400,MATCH("*"&amp;L39&amp;"*",'V7'!B$300:B$400,0)),"  ")</f>
        <v xml:space="preserve">  </v>
      </c>
      <c r="AG39" s="113" t="str">
        <f>IFERROR(INDEX('V8'!C$300:C$400,MATCH("*"&amp;L39&amp;"*",'V8'!B$300:B$400,0)),"  ")</f>
        <v xml:space="preserve">  </v>
      </c>
      <c r="AH39" s="113" t="str">
        <f>IFERROR(INDEX('V9'!C$300:C$400,MATCH("*"&amp;L39&amp;"*",'V9'!B$300:B$400,0)),"  ")</f>
        <v xml:space="preserve">  </v>
      </c>
      <c r="AI39" s="113" t="str">
        <f>IFERROR(INDEX('V10'!C$300:C$400,MATCH("*"&amp;L39&amp;"*",'V10'!B$300:B$400,0)),"  ")</f>
        <v xml:space="preserve">  </v>
      </c>
      <c r="AJ39" s="114" t="str">
        <f t="shared" si="18"/>
        <v/>
      </c>
      <c r="AK39" s="346">
        <f t="shared" si="19"/>
        <v>24</v>
      </c>
      <c r="AL39" s="115">
        <f t="shared" si="20"/>
        <v>33</v>
      </c>
      <c r="AM39" s="116" t="str">
        <f>IFERROR(INDEX(#REF!,MATCH("*"&amp;L39&amp;"*",#REF!,0)),"  ")</f>
        <v xml:space="preserve">  </v>
      </c>
      <c r="AN39" s="117">
        <f t="shared" si="21"/>
        <v>2</v>
      </c>
      <c r="AO39" s="118">
        <f t="shared" si="22"/>
        <v>1</v>
      </c>
      <c r="AP39" s="118">
        <f t="shared" si="23"/>
        <v>0</v>
      </c>
      <c r="AQ39" s="48"/>
      <c r="AR39" s="1"/>
      <c r="AS39" s="1"/>
      <c r="AT39" s="119">
        <f t="shared" si="24"/>
        <v>1E-4</v>
      </c>
      <c r="AU39" s="120">
        <f t="shared" si="25"/>
        <v>1E-4</v>
      </c>
      <c r="AV39" s="120">
        <f t="shared" si="26"/>
        <v>2.0000000000000001E-4</v>
      </c>
      <c r="AW39" s="120">
        <f t="shared" si="27"/>
        <v>2.9999999999999997E-4</v>
      </c>
      <c r="AX39" s="120">
        <f t="shared" si="28"/>
        <v>4.0000000000000002E-4</v>
      </c>
      <c r="AY39" s="120">
        <f t="shared" si="29"/>
        <v>16.000499999999999</v>
      </c>
      <c r="AZ39" s="120">
        <f t="shared" si="30"/>
        <v>8.0006000000000004</v>
      </c>
      <c r="BA39" s="120">
        <f t="shared" si="31"/>
        <v>6.9999999999999999E-4</v>
      </c>
      <c r="BB39" s="120">
        <f t="shared" si="32"/>
        <v>8.0000000000000004E-4</v>
      </c>
      <c r="BC39" s="120">
        <f t="shared" si="33"/>
        <v>8.9999999999999998E-4</v>
      </c>
      <c r="BD39" s="120">
        <f t="shared" si="34"/>
        <v>1E-3</v>
      </c>
      <c r="BI39" s="1" t="e">
        <f t="shared" si="35"/>
        <v>#VALUE!</v>
      </c>
      <c r="BJ39" s="1" t="e">
        <f t="shared" si="36"/>
        <v>#VALUE!</v>
      </c>
      <c r="BK39" s="1" t="e">
        <f t="shared" si="37"/>
        <v>#VALUE!</v>
      </c>
      <c r="BL39" s="1" t="e">
        <f t="shared" si="38"/>
        <v>#VALUE!</v>
      </c>
      <c r="BM39" s="1">
        <f t="shared" si="39"/>
        <v>3.5</v>
      </c>
      <c r="BN39" s="1">
        <f t="shared" si="40"/>
        <v>10</v>
      </c>
      <c r="BO39" s="1" t="e">
        <f t="shared" si="41"/>
        <v>#VALUE!</v>
      </c>
      <c r="BP39" s="1" t="e">
        <f t="shared" si="42"/>
        <v>#VALUE!</v>
      </c>
      <c r="BQ39" s="1" t="e">
        <f t="shared" si="43"/>
        <v>#VALUE!</v>
      </c>
      <c r="BR39" s="1" t="e">
        <f t="shared" si="44"/>
        <v>#VALUE!</v>
      </c>
    </row>
    <row r="40" spans="1:70" ht="12.75" customHeight="1" x14ac:dyDescent="0.2">
      <c r="A40" s="719" t="str">
        <f t="shared" si="1"/>
        <v/>
      </c>
      <c r="B40" s="99">
        <f t="shared" si="2"/>
        <v>-966</v>
      </c>
      <c r="C40" s="354" t="str">
        <f t="shared" si="3"/>
        <v/>
      </c>
      <c r="D40" s="316">
        <f t="shared" si="4"/>
        <v>-966</v>
      </c>
      <c r="E40" s="100">
        <f t="shared" si="5"/>
        <v>27</v>
      </c>
      <c r="F40" s="99">
        <f t="shared" si="6"/>
        <v>34</v>
      </c>
      <c r="G40" s="101" t="str">
        <f t="shared" si="7"/>
        <v/>
      </c>
      <c r="H40" s="99">
        <f t="shared" si="8"/>
        <v>-966</v>
      </c>
      <c r="I40" s="102" t="str">
        <f t="shared" si="9"/>
        <v/>
      </c>
      <c r="J40" s="103">
        <f t="shared" si="10"/>
        <v>-966</v>
      </c>
      <c r="K40" s="70">
        <f t="shared" si="11"/>
        <v>34</v>
      </c>
      <c r="L40" s="325" t="s">
        <v>127</v>
      </c>
      <c r="M40" s="296"/>
      <c r="N40" s="297" t="str">
        <f>IF(M40="","m","")</f>
        <v>m</v>
      </c>
      <c r="O40" s="298"/>
      <c r="P40" s="299"/>
      <c r="Q40" s="300" t="s">
        <v>308</v>
      </c>
      <c r="R40" s="110">
        <f>(IF(COUNT(Z40,AA40,AB40,AC40,AD40,AE40,AF40,AG40,AH40,AI40)&lt;10,SUM(Z40,AA40,AB40,AC40,AD40,AE40,AF40,AG40,AH40,AI40),SUM(LARGE((Z40,AA40,AB40,AC40,AD40,AE40,AF40,AG40,AH40,AI40),{1;2;3;4;5;6;7;8;9}))))</f>
        <v>23</v>
      </c>
      <c r="S40" s="111" t="str">
        <f>INDEX(ETAPP!B$1:B$32,MATCH(COUNTIF(BI40:BR40,1),ETAPP!A$1:A$32,0))&amp;INDEX(ETAPP!B$1:B$32,MATCH(COUNTIF(BI40:BR40,2),ETAPP!A$1:A$32,0))&amp;INDEX(ETAPP!B$1:B$32,MATCH(COUNTIF(BI40:BR40,3),ETAPP!A$1:A$32,0))&amp;INDEX(ETAPP!B$1:B$32,MATCH(COUNTIF(BI40:BR40,4),ETAPP!A$1:A$32,0))&amp;INDEX(ETAPP!B$1:B$32,MATCH(COUNTIF(BI40:BR40,5),ETAPP!A$1:A$32,0))&amp;INDEX(ETAPP!B$1:B$32,MATCH(COUNTIF(BI40:BR40,6),ETAPP!A$1:A$32,0))&amp;INDEX(ETAPP!B$1:B$32,MATCH(COUNTIF(BI40:BR40,7),ETAPP!A$1:A$32,0))&amp;INDEX(ETAPP!B$1:B$32,MATCH(COUNTIF(BI40:BR40,8),ETAPP!A$1:A$32,0))&amp;INDEX(ETAPP!B$1:B$32,MATCH(COUNTIF(BI40:BR40,9),ETAPP!A$1:A$32,0))&amp;INDEX(ETAPP!B$1:B$32,MATCH(COUNTIF(BI40:BR40,10),ETAPP!A$1:A$32,0))&amp;INDEX(ETAPP!B$1:B$32,MATCH(COUNTIF(BI40:BR40,11),ETAPP!A$1:A$32,0))&amp;INDEX(ETAPP!B$1:B$32,MATCH(COUNTIF(BI40:BR40,12),ETAPP!A$1:A$32,0))&amp;INDEX(ETAPP!B$1:B$32,MATCH(COUNTIF(BI40:BR40,13),ETAPP!A$1:A$32,0))&amp;INDEX(ETAPP!B$1:B$32,MATCH(COUNTIF(BI40:BR40,14),ETAPP!A$1:A$32,0))&amp;INDEX(ETAPP!B$1:B$32,MATCH(COUNTIF(BI40:BR40,15),ETAPP!A$1:A$32,0))&amp;INDEX(ETAPP!B$1:B$32,MATCH(COUNTIF(BI40:BR40,16),ETAPP!A$1:A$32,0))&amp;INDEX(ETAPP!B$1:B$32,MATCH(COUNTIF(BI40:BR40,17),ETAPP!A$1:A$32,0))&amp;INDEX(ETAPP!B$1:B$32,MATCH(COUNTIF(BI40:BR40,18),ETAPP!A$1:A$32,0))&amp;INDEX(ETAPP!B$1:B$32,MATCH(COUNTIF(BI40:BR40,19),ETAPP!A$1:A$32,0))&amp;INDEX(ETAPP!B$1:B$32,MATCH(COUNTIF(BI40:BR40,20),ETAPP!A$1:A$32,0))&amp;INDEX(ETAPP!B$1:B$32,MATCH(COUNTIF(BI40:BR40,21),ETAPP!A$1:A$32,0))</f>
        <v>000000A00A00000000000</v>
      </c>
      <c r="T40" s="111" t="str">
        <f t="shared" si="12"/>
        <v>023,0-000000A00A00000000000</v>
      </c>
      <c r="U40" s="111">
        <f t="shared" si="13"/>
        <v>34</v>
      </c>
      <c r="V40" s="111">
        <f t="shared" si="14"/>
        <v>45</v>
      </c>
      <c r="W40" s="111" t="str">
        <f t="shared" si="15"/>
        <v>023,0-000000A00A00000000000-045</v>
      </c>
      <c r="X40" s="111">
        <f t="shared" si="16"/>
        <v>34</v>
      </c>
      <c r="Y40" s="112">
        <f t="shared" si="17"/>
        <v>12</v>
      </c>
      <c r="Z40" s="113" t="str">
        <f>IFERROR(INDEX('V1'!C$300:C$400,MATCH("*"&amp;L40&amp;"*",'V1'!B$300:B$400,0)),"  ")</f>
        <v xml:space="preserve">  </v>
      </c>
      <c r="AA40" s="113" t="str">
        <f>IFERROR(INDEX('V2'!C$300:C$389,MATCH("*"&amp;L40&amp;"*",'V2'!B$300:B$389,0)),"  ")</f>
        <v xml:space="preserve">  </v>
      </c>
      <c r="AB40" s="113" t="str">
        <f>IFERROR(INDEX('V3'!C$300:C$399,MATCH("*"&amp;L40&amp;"*",'V3'!B$300:B$399,0)),"  ")</f>
        <v xml:space="preserve">  </v>
      </c>
      <c r="AC40" s="113" t="str">
        <f>IFERROR(INDEX('V4'!C$300:C$400,MATCH("*"&amp;L40&amp;"*",'V4'!B$300:B$400,0)),"  ")</f>
        <v xml:space="preserve">  </v>
      </c>
      <c r="AD40" s="113" t="str">
        <f>IFERROR(INDEX('V5'!C$300:C$400,MATCH("*"&amp;L40&amp;"*",'V5'!B$300:B$400,0)),"  ")</f>
        <v xml:space="preserve">  </v>
      </c>
      <c r="AE40" s="113">
        <f>IFERROR(INDEX('V6'!C$300:C$400,MATCH("*"&amp;L40&amp;"*",'V6'!B$300:B$400,0)),"  ")</f>
        <v>8</v>
      </c>
      <c r="AF40" s="113" t="str">
        <f>IFERROR(INDEX('V7'!C$300:C$400,MATCH("*"&amp;L40&amp;"*",'V7'!B$300:B$400,0)),"  ")</f>
        <v xml:space="preserve">  </v>
      </c>
      <c r="AG40" s="113">
        <f>IFERROR(INDEX('V8'!C$300:C$400,MATCH("*"&amp;L40&amp;"*",'V8'!B$300:B$400,0)),"  ")</f>
        <v>15</v>
      </c>
      <c r="AH40" s="113" t="str">
        <f>IFERROR(INDEX('V9'!C$300:C$400,MATCH("*"&amp;L40&amp;"*",'V9'!B$300:B$400,0)),"  ")</f>
        <v xml:space="preserve">  </v>
      </c>
      <c r="AI40" s="113" t="str">
        <f>IFERROR(INDEX('V10'!C$300:C$400,MATCH("*"&amp;L40&amp;"*",'V10'!B$300:B$400,0)),"  ")</f>
        <v xml:space="preserve">  </v>
      </c>
      <c r="AJ40" s="114" t="str">
        <f t="shared" si="18"/>
        <v/>
      </c>
      <c r="AK40" s="346">
        <f t="shared" si="19"/>
        <v>23</v>
      </c>
      <c r="AL40" s="115">
        <f t="shared" si="20"/>
        <v>34</v>
      </c>
      <c r="AM40" s="116" t="str">
        <f>IFERROR(INDEX(#REF!,MATCH("*"&amp;L40&amp;"*",#REF!,0)),"  ")</f>
        <v xml:space="preserve">  </v>
      </c>
      <c r="AN40" s="117">
        <f t="shared" si="21"/>
        <v>2</v>
      </c>
      <c r="AO40" s="118">
        <f t="shared" si="22"/>
        <v>0</v>
      </c>
      <c r="AP40" s="118">
        <f t="shared" si="23"/>
        <v>0</v>
      </c>
      <c r="AQ40" s="48"/>
      <c r="AT40" s="119">
        <f t="shared" si="24"/>
        <v>1E-4</v>
      </c>
      <c r="AU40" s="120">
        <f t="shared" si="25"/>
        <v>1E-4</v>
      </c>
      <c r="AV40" s="120">
        <f t="shared" si="26"/>
        <v>2.0000000000000001E-4</v>
      </c>
      <c r="AW40" s="120">
        <f t="shared" si="27"/>
        <v>2.9999999999999997E-4</v>
      </c>
      <c r="AX40" s="120">
        <f t="shared" si="28"/>
        <v>4.0000000000000002E-4</v>
      </c>
      <c r="AY40" s="120">
        <f t="shared" si="29"/>
        <v>5.0000000000000001E-4</v>
      </c>
      <c r="AZ40" s="120">
        <f t="shared" si="30"/>
        <v>8.0006000000000004</v>
      </c>
      <c r="BA40" s="120">
        <f t="shared" si="31"/>
        <v>6.9999999999999999E-4</v>
      </c>
      <c r="BB40" s="120">
        <f t="shared" si="32"/>
        <v>15.0008</v>
      </c>
      <c r="BC40" s="120">
        <f t="shared" si="33"/>
        <v>8.9999999999999998E-4</v>
      </c>
      <c r="BD40" s="120">
        <f t="shared" si="34"/>
        <v>1E-3</v>
      </c>
      <c r="BI40" s="1" t="e">
        <f t="shared" si="35"/>
        <v>#VALUE!</v>
      </c>
      <c r="BJ40" s="1" t="e">
        <f t="shared" si="36"/>
        <v>#VALUE!</v>
      </c>
      <c r="BK40" s="1" t="e">
        <f t="shared" si="37"/>
        <v>#VALUE!</v>
      </c>
      <c r="BL40" s="1" t="e">
        <f t="shared" si="38"/>
        <v>#VALUE!</v>
      </c>
      <c r="BM40" s="1" t="e">
        <f t="shared" si="39"/>
        <v>#VALUE!</v>
      </c>
      <c r="BN40" s="1">
        <f t="shared" si="40"/>
        <v>10</v>
      </c>
      <c r="BO40" s="1" t="e">
        <f t="shared" si="41"/>
        <v>#VALUE!</v>
      </c>
      <c r="BP40" s="1">
        <f t="shared" si="42"/>
        <v>7</v>
      </c>
      <c r="BQ40" s="1" t="e">
        <f t="shared" si="43"/>
        <v>#VALUE!</v>
      </c>
      <c r="BR40" s="1" t="e">
        <f t="shared" si="44"/>
        <v>#VALUE!</v>
      </c>
    </row>
    <row r="41" spans="1:70" ht="12.75" customHeight="1" x14ac:dyDescent="0.2">
      <c r="A41" s="719">
        <f t="shared" si="1"/>
        <v>27</v>
      </c>
      <c r="B41" s="99">
        <f t="shared" si="2"/>
        <v>35</v>
      </c>
      <c r="C41" s="354" t="str">
        <f t="shared" si="3"/>
        <v/>
      </c>
      <c r="D41" s="316">
        <f t="shared" si="4"/>
        <v>-965</v>
      </c>
      <c r="E41" s="100">
        <f t="shared" si="5"/>
        <v>28</v>
      </c>
      <c r="F41" s="99">
        <f t="shared" si="6"/>
        <v>35</v>
      </c>
      <c r="G41" s="101" t="str">
        <f t="shared" si="7"/>
        <v/>
      </c>
      <c r="H41" s="99">
        <f t="shared" si="8"/>
        <v>-965</v>
      </c>
      <c r="I41" s="102" t="str">
        <f t="shared" si="9"/>
        <v/>
      </c>
      <c r="J41" s="103">
        <f t="shared" si="10"/>
        <v>-965</v>
      </c>
      <c r="K41" s="70">
        <f t="shared" si="11"/>
        <v>35</v>
      </c>
      <c r="L41" s="324" t="s">
        <v>102</v>
      </c>
      <c r="M41" s="296"/>
      <c r="N41" s="297" t="str">
        <f>IF(M41="","m","")</f>
        <v>m</v>
      </c>
      <c r="O41" s="298"/>
      <c r="P41" s="299"/>
      <c r="Q41" s="300" t="s">
        <v>86</v>
      </c>
      <c r="R41" s="110">
        <f>(IF(COUNT(Z41,AA41,AB41,AC41,AD41,AE41,AF41,AG41,AH41,AI41)&lt;10,SUM(Z41,AA41,AB41,AC41,AD41,AE41,AF41,AG41,AH41,AI41),SUM(LARGE((Z41,AA41,AB41,AC41,AD41,AE41,AF41,AG41,AH41,AI41),{1;2;3;4;5;6;7;8;9}))))</f>
        <v>23</v>
      </c>
      <c r="S41" s="111" t="str">
        <f>INDEX(ETAPP!B$1:B$32,MATCH(COUNTIF(BI41:BR41,1),ETAPP!A$1:A$32,0))&amp;INDEX(ETAPP!B$1:B$32,MATCH(COUNTIF(BI41:BR41,2),ETAPP!A$1:A$32,0))&amp;INDEX(ETAPP!B$1:B$32,MATCH(COUNTIF(BI41:BR41,3),ETAPP!A$1:A$32,0))&amp;INDEX(ETAPP!B$1:B$32,MATCH(COUNTIF(BI41:BR41,4),ETAPP!A$1:A$32,0))&amp;INDEX(ETAPP!B$1:B$32,MATCH(COUNTIF(BI41:BR41,5),ETAPP!A$1:A$32,0))&amp;INDEX(ETAPP!B$1:B$32,MATCH(COUNTIF(BI41:BR41,6),ETAPP!A$1:A$32,0))&amp;INDEX(ETAPP!B$1:B$32,MATCH(COUNTIF(BI41:BR41,7),ETAPP!A$1:A$32,0))&amp;INDEX(ETAPP!B$1:B$32,MATCH(COUNTIF(BI41:BR41,8),ETAPP!A$1:A$32,0))&amp;INDEX(ETAPP!B$1:B$32,MATCH(COUNTIF(BI41:BR41,9),ETAPP!A$1:A$32,0))&amp;INDEX(ETAPP!B$1:B$32,MATCH(COUNTIF(BI41:BR41,10),ETAPP!A$1:A$32,0))&amp;INDEX(ETAPP!B$1:B$32,MATCH(COUNTIF(BI41:BR41,11),ETAPP!A$1:A$32,0))&amp;INDEX(ETAPP!B$1:B$32,MATCH(COUNTIF(BI41:BR41,12),ETAPP!A$1:A$32,0))&amp;INDEX(ETAPP!B$1:B$32,MATCH(COUNTIF(BI41:BR41,13),ETAPP!A$1:A$32,0))&amp;INDEX(ETAPP!B$1:B$32,MATCH(COUNTIF(BI41:BR41,14),ETAPP!A$1:A$32,0))&amp;INDEX(ETAPP!B$1:B$32,MATCH(COUNTIF(BI41:BR41,15),ETAPP!A$1:A$32,0))&amp;INDEX(ETAPP!B$1:B$32,MATCH(COUNTIF(BI41:BR41,16),ETAPP!A$1:A$32,0))&amp;INDEX(ETAPP!B$1:B$32,MATCH(COUNTIF(BI41:BR41,17),ETAPP!A$1:A$32,0))&amp;INDEX(ETAPP!B$1:B$32,MATCH(COUNTIF(BI41:BR41,18),ETAPP!A$1:A$32,0))&amp;INDEX(ETAPP!B$1:B$32,MATCH(COUNTIF(BI41:BR41,19),ETAPP!A$1:A$32,0))&amp;INDEX(ETAPP!B$1:B$32,MATCH(COUNTIF(BI41:BR41,20),ETAPP!A$1:A$32,0))&amp;INDEX(ETAPP!B$1:B$32,MATCH(COUNTIF(BI41:BR41,21),ETAPP!A$1:A$32,0))</f>
        <v>0000000A0A00000000000</v>
      </c>
      <c r="T41" s="111" t="str">
        <f t="shared" si="12"/>
        <v>023,0-0000000A0A00000000000</v>
      </c>
      <c r="U41" s="111">
        <f t="shared" si="13"/>
        <v>35</v>
      </c>
      <c r="V41" s="111">
        <f t="shared" si="14"/>
        <v>35</v>
      </c>
      <c r="W41" s="111" t="str">
        <f t="shared" si="15"/>
        <v>023,0-0000000A0A00000000000-035</v>
      </c>
      <c r="X41" s="111">
        <f t="shared" si="16"/>
        <v>35</v>
      </c>
      <c r="Y41" s="112">
        <f t="shared" si="17"/>
        <v>11</v>
      </c>
      <c r="Z41" s="113">
        <f>IFERROR(INDEX('V1'!C$300:C$400,MATCH("*"&amp;L41&amp;"*",'V1'!B$300:B$400,0)),"  ")</f>
        <v>2</v>
      </c>
      <c r="AA41" s="113" t="str">
        <f>IFERROR(INDEX('V2'!C$300:C$389,MATCH("*"&amp;L41&amp;"*",'V2'!B$300:B$389,0)),"  ")</f>
        <v xml:space="preserve">  </v>
      </c>
      <c r="AB41" s="113" t="str">
        <f>IFERROR(INDEX('V3'!C$300:C$399,MATCH("*"&amp;L41&amp;"*",'V3'!B$300:B$399,0)),"  ")</f>
        <v xml:space="preserve">  </v>
      </c>
      <c r="AC41" s="113">
        <f>IFERROR(INDEX('V4'!C$300:C$400,MATCH("*"&amp;L41&amp;"*",'V4'!B$300:B$400,0)),"  ")</f>
        <v>3</v>
      </c>
      <c r="AD41" s="113">
        <f>IFERROR(INDEX('V5'!C$300:C$400,MATCH("*"&amp;L41&amp;"*",'V5'!B$300:B$400,0)),"  ")</f>
        <v>6</v>
      </c>
      <c r="AE41" s="113" t="str">
        <f>IFERROR(INDEX('V6'!C$300:C$400,MATCH("*"&amp;L41&amp;"*",'V6'!B$300:B$400,0)),"  ")</f>
        <v xml:space="preserve">  </v>
      </c>
      <c r="AF41" s="113" t="str">
        <f>IFERROR(INDEX('V7'!C$300:C$400,MATCH("*"&amp;L41&amp;"*",'V7'!B$300:B$400,0)),"  ")</f>
        <v xml:space="preserve">  </v>
      </c>
      <c r="AG41" s="113" t="str">
        <f>IFERROR(INDEX('V8'!C$300:C$400,MATCH("*"&amp;L41&amp;"*",'V8'!B$300:B$400,0)),"  ")</f>
        <v xml:space="preserve">  </v>
      </c>
      <c r="AH41" s="113" t="str">
        <f>IFERROR(INDEX('V9'!C$300:C$400,MATCH("*"&amp;L41&amp;"*",'V9'!B$300:B$400,0)),"  ")</f>
        <v xml:space="preserve">  </v>
      </c>
      <c r="AI41" s="113">
        <f>IFERROR(INDEX('V10'!C$300:C$400,MATCH("*"&amp;L41&amp;"*",'V10'!B$300:B$400,0)),"  ")</f>
        <v>12</v>
      </c>
      <c r="AJ41" s="114">
        <f t="shared" si="18"/>
        <v>35</v>
      </c>
      <c r="AK41" s="346">
        <f t="shared" si="19"/>
        <v>23</v>
      </c>
      <c r="AL41" s="115" t="str">
        <f t="shared" si="20"/>
        <v>edasi 29</v>
      </c>
      <c r="AM41" s="116" t="str">
        <f>IFERROR(INDEX(#REF!,MATCH("*"&amp;L41&amp;"*",#REF!,0)),"  ")</f>
        <v xml:space="preserve">  </v>
      </c>
      <c r="AN41" s="117">
        <f t="shared" si="21"/>
        <v>4</v>
      </c>
      <c r="AO41" s="118">
        <f t="shared" si="22"/>
        <v>0</v>
      </c>
      <c r="AP41" s="118">
        <f t="shared" si="23"/>
        <v>0</v>
      </c>
      <c r="AQ41" s="48"/>
      <c r="AT41" s="119">
        <f t="shared" si="24"/>
        <v>2.0000000000000001E-4</v>
      </c>
      <c r="AU41" s="120">
        <f t="shared" si="25"/>
        <v>2.0001000000000002</v>
      </c>
      <c r="AV41" s="120">
        <f t="shared" si="26"/>
        <v>2.0000000000000001E-4</v>
      </c>
      <c r="AW41" s="120">
        <f t="shared" si="27"/>
        <v>2.9999999999999997E-4</v>
      </c>
      <c r="AX41" s="120">
        <f t="shared" si="28"/>
        <v>3.0004</v>
      </c>
      <c r="AY41" s="120">
        <f t="shared" si="29"/>
        <v>6.0004999999999997</v>
      </c>
      <c r="AZ41" s="120">
        <f t="shared" si="30"/>
        <v>5.9999999999999995E-4</v>
      </c>
      <c r="BA41" s="120">
        <f t="shared" si="31"/>
        <v>6.9999999999999999E-4</v>
      </c>
      <c r="BB41" s="120">
        <f t="shared" si="32"/>
        <v>8.0000000000000004E-4</v>
      </c>
      <c r="BC41" s="120">
        <f t="shared" si="33"/>
        <v>8.9999999999999998E-4</v>
      </c>
      <c r="BD41" s="120">
        <f t="shared" si="34"/>
        <v>12.000999999999999</v>
      </c>
      <c r="BI41" s="1">
        <f t="shared" si="35"/>
        <v>8</v>
      </c>
      <c r="BJ41" s="1" t="e">
        <f t="shared" si="36"/>
        <v>#VALUE!</v>
      </c>
      <c r="BK41" s="1" t="e">
        <f t="shared" si="37"/>
        <v>#VALUE!</v>
      </c>
      <c r="BL41" s="1">
        <f t="shared" si="38"/>
        <v>10</v>
      </c>
      <c r="BM41" s="1">
        <f t="shared" si="39"/>
        <v>8.5</v>
      </c>
      <c r="BN41" s="1" t="e">
        <f t="shared" si="40"/>
        <v>#VALUE!</v>
      </c>
      <c r="BO41" s="1" t="e">
        <f t="shared" si="41"/>
        <v>#VALUE!</v>
      </c>
      <c r="BP41" s="1" t="e">
        <f t="shared" si="42"/>
        <v>#VALUE!</v>
      </c>
      <c r="BQ41" s="1" t="e">
        <f t="shared" si="43"/>
        <v>#VALUE!</v>
      </c>
      <c r="BR41" s="1">
        <f t="shared" si="44"/>
        <v>5.5</v>
      </c>
    </row>
    <row r="42" spans="1:70" ht="12.75" customHeight="1" x14ac:dyDescent="0.2">
      <c r="A42" s="719" t="str">
        <f t="shared" si="1"/>
        <v/>
      </c>
      <c r="B42" s="99">
        <f t="shared" si="2"/>
        <v>-964</v>
      </c>
      <c r="C42" s="354" t="str">
        <f t="shared" si="3"/>
        <v/>
      </c>
      <c r="D42" s="316">
        <f t="shared" si="4"/>
        <v>-964</v>
      </c>
      <c r="E42" s="100">
        <f t="shared" si="5"/>
        <v>29</v>
      </c>
      <c r="F42" s="99">
        <f t="shared" si="6"/>
        <v>36</v>
      </c>
      <c r="G42" s="101" t="str">
        <f t="shared" si="7"/>
        <v/>
      </c>
      <c r="H42" s="99">
        <f t="shared" si="8"/>
        <v>-964</v>
      </c>
      <c r="I42" s="102" t="str">
        <f t="shared" si="9"/>
        <v/>
      </c>
      <c r="J42" s="103">
        <f t="shared" si="10"/>
        <v>-964</v>
      </c>
      <c r="K42" s="70">
        <f t="shared" si="11"/>
        <v>36</v>
      </c>
      <c r="L42" s="723" t="s">
        <v>61</v>
      </c>
      <c r="M42" s="296"/>
      <c r="N42" s="297" t="str">
        <f>IF(M42="","m","")</f>
        <v>m</v>
      </c>
      <c r="O42" s="298"/>
      <c r="P42" s="299"/>
      <c r="Q42" s="300" t="s">
        <v>308</v>
      </c>
      <c r="R42" s="110">
        <f>(IF(COUNT(Z42,AA42,AB42,AC42,AD42,AE42,AF42,AG42,AH42,AI42)&lt;10,SUM(Z42,AA42,AB42,AC42,AD42,AE42,AF42,AG42,AH42,AI42),SUM(LARGE((Z42,AA42,AB42,AC42,AD42,AE42,AF42,AG42,AH42,AI42),{1;2;3;4;5;6;7;8;9}))))</f>
        <v>22</v>
      </c>
      <c r="S42" s="111" t="str">
        <f>INDEX(ETAPP!B$1:B$32,MATCH(COUNTIF(BI42:BR42,1),ETAPP!A$1:A$32,0))&amp;INDEX(ETAPP!B$1:B$32,MATCH(COUNTIF(BI42:BR42,2),ETAPP!A$1:A$32,0))&amp;INDEX(ETAPP!B$1:B$32,MATCH(COUNTIF(BI42:BR42,3),ETAPP!A$1:A$32,0))&amp;INDEX(ETAPP!B$1:B$32,MATCH(COUNTIF(BI42:BR42,4),ETAPP!A$1:A$32,0))&amp;INDEX(ETAPP!B$1:B$32,MATCH(COUNTIF(BI42:BR42,5),ETAPP!A$1:A$32,0))&amp;INDEX(ETAPP!B$1:B$32,MATCH(COUNTIF(BI42:BR42,6),ETAPP!A$1:A$32,0))&amp;INDEX(ETAPP!B$1:B$32,MATCH(COUNTIF(BI42:BR42,7),ETAPP!A$1:A$32,0))&amp;INDEX(ETAPP!B$1:B$32,MATCH(COUNTIF(BI42:BR42,8),ETAPP!A$1:A$32,0))&amp;INDEX(ETAPP!B$1:B$32,MATCH(COUNTIF(BI42:BR42,9),ETAPP!A$1:A$32,0))&amp;INDEX(ETAPP!B$1:B$32,MATCH(COUNTIF(BI42:BR42,10),ETAPP!A$1:A$32,0))&amp;INDEX(ETAPP!B$1:B$32,MATCH(COUNTIF(BI42:BR42,11),ETAPP!A$1:A$32,0))&amp;INDEX(ETAPP!B$1:B$32,MATCH(COUNTIF(BI42:BR42,12),ETAPP!A$1:A$32,0))&amp;INDEX(ETAPP!B$1:B$32,MATCH(COUNTIF(BI42:BR42,13),ETAPP!A$1:A$32,0))&amp;INDEX(ETAPP!B$1:B$32,MATCH(COUNTIF(BI42:BR42,14),ETAPP!A$1:A$32,0))&amp;INDEX(ETAPP!B$1:B$32,MATCH(COUNTIF(BI42:BR42,15),ETAPP!A$1:A$32,0))&amp;INDEX(ETAPP!B$1:B$32,MATCH(COUNTIF(BI42:BR42,16),ETAPP!A$1:A$32,0))&amp;INDEX(ETAPP!B$1:B$32,MATCH(COUNTIF(BI42:BR42,17),ETAPP!A$1:A$32,0))&amp;INDEX(ETAPP!B$1:B$32,MATCH(COUNTIF(BI42:BR42,18),ETAPP!A$1:A$32,0))&amp;INDEX(ETAPP!B$1:B$32,MATCH(COUNTIF(BI42:BR42,19),ETAPP!A$1:A$32,0))&amp;INDEX(ETAPP!B$1:B$32,MATCH(COUNTIF(BI42:BR42,20),ETAPP!A$1:A$32,0))&amp;INDEX(ETAPP!B$1:B$32,MATCH(COUNTIF(BI42:BR42,21),ETAPP!A$1:A$32,0))</f>
        <v>000000A00000000000000</v>
      </c>
      <c r="T42" s="111" t="str">
        <f t="shared" si="12"/>
        <v>022,0-000000A00000000000000</v>
      </c>
      <c r="U42" s="111">
        <f t="shared" si="13"/>
        <v>36</v>
      </c>
      <c r="V42" s="111">
        <f t="shared" si="14"/>
        <v>27</v>
      </c>
      <c r="W42" s="111" t="str">
        <f t="shared" si="15"/>
        <v>022,0-000000A00000000000000-027</v>
      </c>
      <c r="X42" s="111">
        <f t="shared" si="16"/>
        <v>36</v>
      </c>
      <c r="Y42" s="112">
        <f t="shared" si="17"/>
        <v>10</v>
      </c>
      <c r="Z42" s="113" t="str">
        <f>IFERROR(INDEX('V1'!C$300:C$400,MATCH("*"&amp;L42&amp;"*",'V1'!B$300:B$400,0)),"  ")</f>
        <v xml:space="preserve">  </v>
      </c>
      <c r="AA42" s="113" t="str">
        <f>IFERROR(INDEX('V2'!C$300:C$389,MATCH("*"&amp;L42&amp;"*",'V2'!B$300:B$389,0)),"  ")</f>
        <v xml:space="preserve">  </v>
      </c>
      <c r="AB42" s="113" t="str">
        <f>IFERROR(INDEX('V3'!C$300:C$399,MATCH("*"&amp;L42&amp;"*",'V3'!B$300:B$399,0)),"  ")</f>
        <v xml:space="preserve">  </v>
      </c>
      <c r="AC42" s="113" t="str">
        <f>IFERROR(INDEX('V4'!C$300:C$400,MATCH("*"&amp;L42&amp;"*",'V4'!B$300:B$400,0)),"  ")</f>
        <v xml:space="preserve">  </v>
      </c>
      <c r="AD42" s="113">
        <f>IFERROR(INDEX('V5'!C$300:C$400,MATCH("*"&amp;L42&amp;"*",'V5'!B$300:B$400,0)),"  ")</f>
        <v>16</v>
      </c>
      <c r="AE42" s="113" t="str">
        <f>IFERROR(INDEX('V6'!C$300:C$400,MATCH("*"&amp;L42&amp;"*",'V6'!B$300:B$400,0)),"  ")</f>
        <v xml:space="preserve">  </v>
      </c>
      <c r="AF42" s="113">
        <f>IFERROR(INDEX('V7'!C$300:C$400,MATCH("*"&amp;L42&amp;"*",'V7'!B$300:B$400,0)),"  ")</f>
        <v>6</v>
      </c>
      <c r="AG42" s="113" t="str">
        <f>IFERROR(INDEX('V8'!C$300:C$400,MATCH("*"&amp;L42&amp;"*",'V8'!B$300:B$400,0)),"  ")</f>
        <v xml:space="preserve">  </v>
      </c>
      <c r="AH42" s="113" t="str">
        <f>IFERROR(INDEX('V9'!C$300:C$400,MATCH("*"&amp;L42&amp;"*",'V9'!B$300:B$400,0)),"  ")</f>
        <v xml:space="preserve">  </v>
      </c>
      <c r="AI42" s="113" t="str">
        <f>IFERROR(INDEX('V10'!C$300:C$400,MATCH("*"&amp;L42&amp;"*",'V10'!B$300:B$400,0)),"  ")</f>
        <v xml:space="preserve">  </v>
      </c>
      <c r="AJ42" s="114" t="str">
        <f t="shared" si="18"/>
        <v/>
      </c>
      <c r="AK42" s="346">
        <f t="shared" si="19"/>
        <v>22</v>
      </c>
      <c r="AL42" s="115">
        <f t="shared" si="20"/>
        <v>36</v>
      </c>
      <c r="AM42" s="116" t="str">
        <f>IFERROR(INDEX(#REF!,MATCH("*"&amp;L42&amp;"*",#REF!,0)),"  ")</f>
        <v xml:space="preserve">  </v>
      </c>
      <c r="AN42" s="117">
        <f t="shared" si="21"/>
        <v>2</v>
      </c>
      <c r="AO42" s="118">
        <f t="shared" si="22"/>
        <v>1</v>
      </c>
      <c r="AP42" s="118">
        <f t="shared" si="23"/>
        <v>0</v>
      </c>
      <c r="AQ42" s="122"/>
      <c r="AT42" s="119">
        <f t="shared" si="24"/>
        <v>1E-4</v>
      </c>
      <c r="AU42" s="120">
        <f t="shared" si="25"/>
        <v>1E-4</v>
      </c>
      <c r="AV42" s="120">
        <f t="shared" si="26"/>
        <v>2.0000000000000001E-4</v>
      </c>
      <c r="AW42" s="120">
        <f t="shared" si="27"/>
        <v>2.9999999999999997E-4</v>
      </c>
      <c r="AX42" s="120">
        <f t="shared" si="28"/>
        <v>4.0000000000000002E-4</v>
      </c>
      <c r="AY42" s="120">
        <f t="shared" si="29"/>
        <v>16.000499999999999</v>
      </c>
      <c r="AZ42" s="120">
        <f t="shared" si="30"/>
        <v>5.9999999999999995E-4</v>
      </c>
      <c r="BA42" s="120">
        <f t="shared" si="31"/>
        <v>6.0007000000000001</v>
      </c>
      <c r="BB42" s="120">
        <f t="shared" si="32"/>
        <v>8.0000000000000004E-4</v>
      </c>
      <c r="BC42" s="120">
        <f t="shared" si="33"/>
        <v>8.9999999999999998E-4</v>
      </c>
      <c r="BD42" s="120">
        <f t="shared" si="34"/>
        <v>1E-3</v>
      </c>
      <c r="BI42" s="1" t="e">
        <f t="shared" si="35"/>
        <v>#VALUE!</v>
      </c>
      <c r="BJ42" s="1" t="e">
        <f t="shared" si="36"/>
        <v>#VALUE!</v>
      </c>
      <c r="BK42" s="1" t="e">
        <f t="shared" si="37"/>
        <v>#VALUE!</v>
      </c>
      <c r="BL42" s="1" t="e">
        <f t="shared" si="38"/>
        <v>#VALUE!</v>
      </c>
      <c r="BM42" s="1">
        <f t="shared" si="39"/>
        <v>3.5</v>
      </c>
      <c r="BN42" s="1" t="e">
        <f t="shared" si="40"/>
        <v>#VALUE!</v>
      </c>
      <c r="BO42" s="1">
        <f t="shared" si="41"/>
        <v>7</v>
      </c>
      <c r="BP42" s="1" t="e">
        <f t="shared" si="42"/>
        <v>#VALUE!</v>
      </c>
      <c r="BQ42" s="1" t="e">
        <f t="shared" si="43"/>
        <v>#VALUE!</v>
      </c>
      <c r="BR42" s="1" t="e">
        <f t="shared" si="44"/>
        <v>#VALUE!</v>
      </c>
    </row>
    <row r="43" spans="1:70" ht="12.75" customHeight="1" x14ac:dyDescent="0.2">
      <c r="A43" s="719">
        <f t="shared" si="1"/>
        <v>28</v>
      </c>
      <c r="B43" s="99">
        <f t="shared" si="2"/>
        <v>37</v>
      </c>
      <c r="C43" s="354" t="str">
        <f t="shared" si="3"/>
        <v/>
      </c>
      <c r="D43" s="316">
        <f t="shared" si="4"/>
        <v>-963</v>
      </c>
      <c r="E43" s="100" t="str">
        <f t="shared" si="5"/>
        <v/>
      </c>
      <c r="F43" s="99">
        <f t="shared" si="6"/>
        <v>-963</v>
      </c>
      <c r="G43" s="101">
        <f t="shared" si="7"/>
        <v>8</v>
      </c>
      <c r="H43" s="99">
        <f t="shared" si="8"/>
        <v>37</v>
      </c>
      <c r="I43" s="102" t="str">
        <f t="shared" si="9"/>
        <v/>
      </c>
      <c r="J43" s="103">
        <f t="shared" si="10"/>
        <v>-963</v>
      </c>
      <c r="K43" s="70">
        <f t="shared" si="11"/>
        <v>37</v>
      </c>
      <c r="L43" s="349" t="s">
        <v>207</v>
      </c>
      <c r="M43" s="296" t="s">
        <v>104</v>
      </c>
      <c r="N43" s="297"/>
      <c r="O43" s="298"/>
      <c r="P43" s="299"/>
      <c r="Q43" s="300" t="s">
        <v>86</v>
      </c>
      <c r="R43" s="110">
        <f>(IF(COUNT(Z43,AA43,AB43,AC43,AD43,AE43,AF43,AG43,AH43,AI43)&lt;10,SUM(Z43,AA43,AB43,AC43,AD43,AE43,AF43,AG43,AH43,AI43),SUM(LARGE((Z43,AA43,AB43,AC43,AD43,AE43,AF43,AG43,AH43,AI43),{1;2;3;4;5;6;7;8;9}))))</f>
        <v>18</v>
      </c>
      <c r="S43" s="111" t="str">
        <f>INDEX(ETAPP!B$1:B$32,MATCH(COUNTIF(BI43:BR43,1),ETAPP!A$1:A$32,0))&amp;INDEX(ETAPP!B$1:B$32,MATCH(COUNTIF(BI43:BR43,2),ETAPP!A$1:A$32,0))&amp;INDEX(ETAPP!B$1:B$32,MATCH(COUNTIF(BI43:BR43,3),ETAPP!A$1:A$32,0))&amp;INDEX(ETAPP!B$1:B$32,MATCH(COUNTIF(BI43:BR43,4),ETAPP!A$1:A$32,0))&amp;INDEX(ETAPP!B$1:B$32,MATCH(COUNTIF(BI43:BR43,5),ETAPP!A$1:A$32,0))&amp;INDEX(ETAPP!B$1:B$32,MATCH(COUNTIF(BI43:BR43,6),ETAPP!A$1:A$32,0))&amp;INDEX(ETAPP!B$1:B$32,MATCH(COUNTIF(BI43:BR43,7),ETAPP!A$1:A$32,0))&amp;INDEX(ETAPP!B$1:B$32,MATCH(COUNTIF(BI43:BR43,8),ETAPP!A$1:A$32,0))&amp;INDEX(ETAPP!B$1:B$32,MATCH(COUNTIF(BI43:BR43,9),ETAPP!A$1:A$32,0))&amp;INDEX(ETAPP!B$1:B$32,MATCH(COUNTIF(BI43:BR43,10),ETAPP!A$1:A$32,0))&amp;INDEX(ETAPP!B$1:B$32,MATCH(COUNTIF(BI43:BR43,11),ETAPP!A$1:A$32,0))&amp;INDEX(ETAPP!B$1:B$32,MATCH(COUNTIF(BI43:BR43,12),ETAPP!A$1:A$32,0))&amp;INDEX(ETAPP!B$1:B$32,MATCH(COUNTIF(BI43:BR43,13),ETAPP!A$1:A$32,0))&amp;INDEX(ETAPP!B$1:B$32,MATCH(COUNTIF(BI43:BR43,14),ETAPP!A$1:A$32,0))&amp;INDEX(ETAPP!B$1:B$32,MATCH(COUNTIF(BI43:BR43,15),ETAPP!A$1:A$32,0))&amp;INDEX(ETAPP!B$1:B$32,MATCH(COUNTIF(BI43:BR43,16),ETAPP!A$1:A$32,0))&amp;INDEX(ETAPP!B$1:B$32,MATCH(COUNTIF(BI43:BR43,17),ETAPP!A$1:A$32,0))&amp;INDEX(ETAPP!B$1:B$32,MATCH(COUNTIF(BI43:BR43,18),ETAPP!A$1:A$32,0))&amp;INDEX(ETAPP!B$1:B$32,MATCH(COUNTIF(BI43:BR43,19),ETAPP!A$1:A$32,0))&amp;INDEX(ETAPP!B$1:B$32,MATCH(COUNTIF(BI43:BR43,20),ETAPP!A$1:A$32,0))&amp;INDEX(ETAPP!B$1:B$32,MATCH(COUNTIF(BI43:BR43,21),ETAPP!A$1:A$32,0))</f>
        <v>000000000000000000000</v>
      </c>
      <c r="T43" s="111" t="str">
        <f t="shared" si="12"/>
        <v>018,0-000000000000000000000</v>
      </c>
      <c r="U43" s="111">
        <f t="shared" si="13"/>
        <v>37</v>
      </c>
      <c r="V43" s="111">
        <f t="shared" si="14"/>
        <v>19</v>
      </c>
      <c r="W43" s="111" t="str">
        <f t="shared" si="15"/>
        <v>018,0-000000000000000000000-019</v>
      </c>
      <c r="X43" s="111">
        <f t="shared" si="16"/>
        <v>37</v>
      </c>
      <c r="Y43" s="112">
        <f t="shared" si="17"/>
        <v>9</v>
      </c>
      <c r="Z43" s="113" t="str">
        <f>IFERROR(INDEX('V1'!C$300:C$400,MATCH("*"&amp;L43&amp;"*",'V1'!B$300:B$400,0)),"  ")</f>
        <v xml:space="preserve">  </v>
      </c>
      <c r="AA43" s="113" t="str">
        <f>IFERROR(INDEX('V2'!C$300:C$389,MATCH("*"&amp;L43&amp;"*",'V2'!B$300:B$389,0)),"  ")</f>
        <v xml:space="preserve">  </v>
      </c>
      <c r="AB43" s="113" t="str">
        <f>IFERROR(INDEX('V3'!C$300:C$399,MATCH("*"&amp;L43&amp;"*",'V3'!B$300:B$399,0)),"  ")</f>
        <v xml:space="preserve">  </v>
      </c>
      <c r="AC43" s="113" t="str">
        <f>IFERROR(INDEX('V4'!C$300:C$400,MATCH("*"&amp;L43&amp;"*",'V4'!B$300:B$400,0)),"  ")</f>
        <v xml:space="preserve">  </v>
      </c>
      <c r="AD43" s="113" t="str">
        <f>IFERROR(INDEX('V5'!C$300:C$400,MATCH("*"&amp;L43&amp;"*",'V5'!B$300:B$400,0)),"  ")</f>
        <v xml:space="preserve">  </v>
      </c>
      <c r="AE43" s="113" t="str">
        <f>IFERROR(INDEX('V6'!C$300:C$400,MATCH("*"&amp;L43&amp;"*",'V6'!B$300:B$400,0)),"  ")</f>
        <v xml:space="preserve">  </v>
      </c>
      <c r="AF43" s="113" t="str">
        <f>IFERROR(INDEX('V7'!C$300:C$400,MATCH("*"&amp;L43&amp;"*",'V7'!B$300:B$400,0)),"  ")</f>
        <v xml:space="preserve">  </v>
      </c>
      <c r="AG43" s="113">
        <f>IFERROR(INDEX('V8'!C$300:C$400,MATCH("*"&amp;L43&amp;"*",'V8'!B$300:B$400,0)),"  ")</f>
        <v>6</v>
      </c>
      <c r="AH43" s="113" t="str">
        <f>IFERROR(INDEX('V9'!C$300:C$400,MATCH("*"&amp;L43&amp;"*",'V9'!B$300:B$400,0)),"  ")</f>
        <v xml:space="preserve">  </v>
      </c>
      <c r="AI43" s="113">
        <f>IFERROR(INDEX('V10'!C$300:C$400,MATCH("*"&amp;L43&amp;"*",'V10'!B$300:B$400,0)),"  ")</f>
        <v>12</v>
      </c>
      <c r="AJ43" s="114" t="str">
        <f t="shared" si="18"/>
        <v/>
      </c>
      <c r="AK43" s="346">
        <f t="shared" si="19"/>
        <v>18</v>
      </c>
      <c r="AL43" s="115">
        <f t="shared" si="20"/>
        <v>37</v>
      </c>
      <c r="AM43" s="116" t="str">
        <f>IFERROR(INDEX(#REF!,MATCH("*"&amp;L43&amp;"*",#REF!,0)),"  ")</f>
        <v xml:space="preserve">  </v>
      </c>
      <c r="AN43" s="117">
        <f t="shared" si="21"/>
        <v>2</v>
      </c>
      <c r="AO43" s="118">
        <f t="shared" si="22"/>
        <v>0</v>
      </c>
      <c r="AP43" s="118">
        <f t="shared" si="23"/>
        <v>0</v>
      </c>
      <c r="AQ43" s="48"/>
      <c r="AT43" s="119">
        <f t="shared" si="24"/>
        <v>1E-4</v>
      </c>
      <c r="AU43" s="120">
        <f t="shared" si="25"/>
        <v>1E-4</v>
      </c>
      <c r="AV43" s="120">
        <f t="shared" si="26"/>
        <v>2.0000000000000001E-4</v>
      </c>
      <c r="AW43" s="120">
        <f t="shared" si="27"/>
        <v>2.9999999999999997E-4</v>
      </c>
      <c r="AX43" s="120">
        <f t="shared" si="28"/>
        <v>4.0000000000000002E-4</v>
      </c>
      <c r="AY43" s="120">
        <f t="shared" si="29"/>
        <v>5.0000000000000001E-4</v>
      </c>
      <c r="AZ43" s="120">
        <f t="shared" si="30"/>
        <v>5.9999999999999995E-4</v>
      </c>
      <c r="BA43" s="120">
        <f t="shared" si="31"/>
        <v>6.9999999999999999E-4</v>
      </c>
      <c r="BB43" s="120">
        <f t="shared" si="32"/>
        <v>6.0007999999999999</v>
      </c>
      <c r="BC43" s="120">
        <f t="shared" si="33"/>
        <v>8.9999999999999998E-4</v>
      </c>
      <c r="BD43" s="120">
        <f t="shared" si="34"/>
        <v>12.000999999999999</v>
      </c>
      <c r="BI43" s="1" t="e">
        <f t="shared" si="35"/>
        <v>#VALUE!</v>
      </c>
      <c r="BJ43" s="1" t="e">
        <f t="shared" si="36"/>
        <v>#VALUE!</v>
      </c>
      <c r="BK43" s="1" t="e">
        <f t="shared" si="37"/>
        <v>#VALUE!</v>
      </c>
      <c r="BL43" s="1" t="e">
        <f t="shared" si="38"/>
        <v>#VALUE!</v>
      </c>
      <c r="BM43" s="1" t="e">
        <f t="shared" si="39"/>
        <v>#VALUE!</v>
      </c>
      <c r="BN43" s="1" t="e">
        <f t="shared" si="40"/>
        <v>#VALUE!</v>
      </c>
      <c r="BO43" s="1" t="e">
        <f t="shared" si="41"/>
        <v>#VALUE!</v>
      </c>
      <c r="BP43" s="1">
        <f t="shared" si="42"/>
        <v>11.5</v>
      </c>
      <c r="BQ43" s="1" t="e">
        <f t="shared" si="43"/>
        <v>#VALUE!</v>
      </c>
      <c r="BR43" s="1">
        <f t="shared" si="44"/>
        <v>5.5</v>
      </c>
    </row>
    <row r="44" spans="1:70" ht="12.75" customHeight="1" x14ac:dyDescent="0.2">
      <c r="A44" s="719">
        <f t="shared" si="1"/>
        <v>29</v>
      </c>
      <c r="B44" s="99">
        <f t="shared" si="2"/>
        <v>38</v>
      </c>
      <c r="C44" s="354" t="str">
        <f t="shared" si="3"/>
        <v/>
      </c>
      <c r="D44" s="316">
        <f t="shared" si="4"/>
        <v>-962</v>
      </c>
      <c r="E44" s="100" t="str">
        <f t="shared" si="5"/>
        <v/>
      </c>
      <c r="F44" s="99">
        <f t="shared" si="6"/>
        <v>-962</v>
      </c>
      <c r="G44" s="101" t="str">
        <f t="shared" si="7"/>
        <v/>
      </c>
      <c r="H44" s="99">
        <f t="shared" si="8"/>
        <v>-962</v>
      </c>
      <c r="I44" s="102" t="str">
        <f t="shared" si="9"/>
        <v/>
      </c>
      <c r="J44" s="103">
        <f t="shared" si="10"/>
        <v>-962</v>
      </c>
      <c r="K44" s="70">
        <f t="shared" si="11"/>
        <v>38</v>
      </c>
      <c r="L44" s="121" t="s">
        <v>282</v>
      </c>
      <c r="M44" s="105"/>
      <c r="N44" s="106"/>
      <c r="O44" s="107"/>
      <c r="P44" s="108"/>
      <c r="Q44" s="109" t="s">
        <v>86</v>
      </c>
      <c r="R44" s="110">
        <f>(IF(COUNT(Z44,AA44,AB44,AC44,AD44,AE44,AF44,AG44,AH44,AI44)&lt;10,SUM(Z44,AA44,AB44,AC44,AD44,AE44,AF44,AG44,AH44,AI44),SUM(LARGE((Z44,AA44,AB44,AC44,AD44,AE44,AF44,AG44,AH44,AI44),{1;2;3;4;5;6;7;8;9}))))</f>
        <v>16</v>
      </c>
      <c r="S44" s="111" t="str">
        <f>INDEX(ETAPP!B$1:B$32,MATCH(COUNTIF(BI44:BR44,1),ETAPP!A$1:A$32,0))&amp;INDEX(ETAPP!B$1:B$32,MATCH(COUNTIF(BI44:BR44,2),ETAPP!A$1:A$32,0))&amp;INDEX(ETAPP!B$1:B$32,MATCH(COUNTIF(BI44:BR44,3),ETAPP!A$1:A$32,0))&amp;INDEX(ETAPP!B$1:B$32,MATCH(COUNTIF(BI44:BR44,4),ETAPP!A$1:A$32,0))&amp;INDEX(ETAPP!B$1:B$32,MATCH(COUNTIF(BI44:BR44,5),ETAPP!A$1:A$32,0))&amp;INDEX(ETAPP!B$1:B$32,MATCH(COUNTIF(BI44:BR44,6),ETAPP!A$1:A$32,0))&amp;INDEX(ETAPP!B$1:B$32,MATCH(COUNTIF(BI44:BR44,7),ETAPP!A$1:A$32,0))&amp;INDEX(ETAPP!B$1:B$32,MATCH(COUNTIF(BI44:BR44,8),ETAPP!A$1:A$32,0))&amp;INDEX(ETAPP!B$1:B$32,MATCH(COUNTIF(BI44:BR44,9),ETAPP!A$1:A$32,0))&amp;INDEX(ETAPP!B$1:B$32,MATCH(COUNTIF(BI44:BR44,10),ETAPP!A$1:A$32,0))&amp;INDEX(ETAPP!B$1:B$32,MATCH(COUNTIF(BI44:BR44,11),ETAPP!A$1:A$32,0))&amp;INDEX(ETAPP!B$1:B$32,MATCH(COUNTIF(BI44:BR44,12),ETAPP!A$1:A$32,0))&amp;INDEX(ETAPP!B$1:B$32,MATCH(COUNTIF(BI44:BR44,13),ETAPP!A$1:A$32,0))&amp;INDEX(ETAPP!B$1:B$32,MATCH(COUNTIF(BI44:BR44,14),ETAPP!A$1:A$32,0))&amp;INDEX(ETAPP!B$1:B$32,MATCH(COUNTIF(BI44:BR44,15),ETAPP!A$1:A$32,0))&amp;INDEX(ETAPP!B$1:B$32,MATCH(COUNTIF(BI44:BR44,16),ETAPP!A$1:A$32,0))&amp;INDEX(ETAPP!B$1:B$32,MATCH(COUNTIF(BI44:BR44,17),ETAPP!A$1:A$32,0))&amp;INDEX(ETAPP!B$1:B$32,MATCH(COUNTIF(BI44:BR44,18),ETAPP!A$1:A$32,0))&amp;INDEX(ETAPP!B$1:B$32,MATCH(COUNTIF(BI44:BR44,19),ETAPP!A$1:A$32,0))&amp;INDEX(ETAPP!B$1:B$32,MATCH(COUNTIF(BI44:BR44,20),ETAPP!A$1:A$32,0))&amp;INDEX(ETAPP!B$1:B$32,MATCH(COUNTIF(BI44:BR44,21),ETAPP!A$1:A$32,0))</f>
        <v>0000A0000000000000000</v>
      </c>
      <c r="T44" s="111" t="str">
        <f t="shared" si="12"/>
        <v>016,0-0000A0000000000000000</v>
      </c>
      <c r="U44" s="111">
        <f t="shared" si="13"/>
        <v>38</v>
      </c>
      <c r="V44" s="111">
        <f t="shared" si="14"/>
        <v>26</v>
      </c>
      <c r="W44" s="111" t="str">
        <f t="shared" si="15"/>
        <v>016,0-0000A0000000000000000-026</v>
      </c>
      <c r="X44" s="111">
        <f t="shared" si="16"/>
        <v>38</v>
      </c>
      <c r="Y44" s="112">
        <f t="shared" si="17"/>
        <v>8</v>
      </c>
      <c r="Z44" s="113" t="str">
        <f>IFERROR(INDEX('V1'!C$300:C$400,MATCH("*"&amp;L44&amp;"*",'V1'!B$300:B$400,0)),"  ")</f>
        <v xml:space="preserve">  </v>
      </c>
      <c r="AA44" s="113" t="str">
        <f>IFERROR(INDEX('V2'!C$300:C$389,MATCH("*"&amp;L44&amp;"*",'V2'!B$300:B$389,0)),"  ")</f>
        <v xml:space="preserve">  </v>
      </c>
      <c r="AB44" s="113">
        <f>IFERROR(INDEX('V3'!C$300:C$399,MATCH("*"&amp;L44&amp;"*",'V3'!B$300:B$399,0)),"  ")</f>
        <v>16</v>
      </c>
      <c r="AC44" s="113" t="str">
        <f>IFERROR(INDEX('V4'!C$300:C$400,MATCH("*"&amp;L44&amp;"*",'V4'!B$300:B$400,0)),"  ")</f>
        <v xml:space="preserve">  </v>
      </c>
      <c r="AD44" s="113" t="str">
        <f>IFERROR(INDEX('V5'!C$300:C$400,MATCH("*"&amp;L44&amp;"*",'V5'!B$300:B$400,0)),"  ")</f>
        <v xml:space="preserve">  </v>
      </c>
      <c r="AE44" s="113" t="str">
        <f>IFERROR(INDEX('V6'!C$300:C$400,MATCH("*"&amp;L44&amp;"*",'V6'!B$300:B$400,0)),"  ")</f>
        <v xml:space="preserve">  </v>
      </c>
      <c r="AF44" s="113" t="str">
        <f>IFERROR(INDEX('V7'!C$300:C$400,MATCH("*"&amp;L44&amp;"*",'V7'!B$300:B$400,0)),"  ")</f>
        <v xml:space="preserve">  </v>
      </c>
      <c r="AG44" s="113" t="str">
        <f>IFERROR(INDEX('V8'!C$300:C$400,MATCH("*"&amp;L44&amp;"*",'V8'!B$300:B$400,0)),"  ")</f>
        <v xml:space="preserve">  </v>
      </c>
      <c r="AH44" s="113" t="str">
        <f>IFERROR(INDEX('V9'!C$300:C$400,MATCH("*"&amp;L44&amp;"*",'V9'!B$300:B$400,0)),"  ")</f>
        <v xml:space="preserve">  </v>
      </c>
      <c r="AI44" s="113" t="str">
        <f>IFERROR(INDEX('V10'!C$300:C$400,MATCH("*"&amp;L44&amp;"*",'V10'!B$300:B$400,0)),"  ")</f>
        <v xml:space="preserve">  </v>
      </c>
      <c r="AJ44" s="114" t="str">
        <f t="shared" si="18"/>
        <v/>
      </c>
      <c r="AK44" s="346">
        <f t="shared" si="19"/>
        <v>16</v>
      </c>
      <c r="AL44" s="115">
        <f t="shared" si="20"/>
        <v>38</v>
      </c>
      <c r="AM44" s="116" t="str">
        <f>IFERROR(INDEX(#REF!,MATCH("*"&amp;L44&amp;"*",#REF!,0)),"  ")</f>
        <v xml:space="preserve">  </v>
      </c>
      <c r="AN44" s="117">
        <f t="shared" si="21"/>
        <v>1</v>
      </c>
      <c r="AO44" s="118">
        <f t="shared" si="22"/>
        <v>0</v>
      </c>
      <c r="AP44" s="118">
        <f t="shared" si="23"/>
        <v>0</v>
      </c>
      <c r="AQ44" s="48"/>
      <c r="AT44" s="119">
        <f t="shared" si="24"/>
        <v>1E-4</v>
      </c>
      <c r="AU44" s="120">
        <f t="shared" si="25"/>
        <v>1E-4</v>
      </c>
      <c r="AV44" s="120">
        <f t="shared" si="26"/>
        <v>2.0000000000000001E-4</v>
      </c>
      <c r="AW44" s="120">
        <f t="shared" si="27"/>
        <v>16.000299999999999</v>
      </c>
      <c r="AX44" s="120">
        <f t="shared" si="28"/>
        <v>4.0000000000000002E-4</v>
      </c>
      <c r="AY44" s="120">
        <f t="shared" si="29"/>
        <v>5.0000000000000001E-4</v>
      </c>
      <c r="AZ44" s="120">
        <f t="shared" si="30"/>
        <v>5.9999999999999995E-4</v>
      </c>
      <c r="BA44" s="120">
        <f t="shared" si="31"/>
        <v>6.9999999999999999E-4</v>
      </c>
      <c r="BB44" s="120">
        <f t="shared" si="32"/>
        <v>8.0000000000000004E-4</v>
      </c>
      <c r="BC44" s="120">
        <f t="shared" si="33"/>
        <v>8.9999999999999998E-4</v>
      </c>
      <c r="BD44" s="120">
        <f t="shared" si="34"/>
        <v>1E-3</v>
      </c>
      <c r="BI44" s="1" t="e">
        <f t="shared" si="35"/>
        <v>#VALUE!</v>
      </c>
      <c r="BJ44" s="1" t="e">
        <f t="shared" si="36"/>
        <v>#VALUE!</v>
      </c>
      <c r="BK44" s="1">
        <f t="shared" si="37"/>
        <v>5</v>
      </c>
      <c r="BL44" s="1" t="e">
        <f t="shared" si="38"/>
        <v>#VALUE!</v>
      </c>
      <c r="BM44" s="1" t="e">
        <f t="shared" si="39"/>
        <v>#VALUE!</v>
      </c>
      <c r="BN44" s="1" t="e">
        <f t="shared" si="40"/>
        <v>#VALUE!</v>
      </c>
      <c r="BO44" s="1" t="e">
        <f t="shared" si="41"/>
        <v>#VALUE!</v>
      </c>
      <c r="BP44" s="1" t="e">
        <f t="shared" si="42"/>
        <v>#VALUE!</v>
      </c>
      <c r="BQ44" s="1" t="e">
        <f t="shared" si="43"/>
        <v>#VALUE!</v>
      </c>
      <c r="BR44" s="1" t="e">
        <f t="shared" si="44"/>
        <v>#VALUE!</v>
      </c>
    </row>
    <row r="45" spans="1:70" ht="12.75" customHeight="1" x14ac:dyDescent="0.2">
      <c r="A45" s="719">
        <f t="shared" si="1"/>
        <v>30</v>
      </c>
      <c r="B45" s="99">
        <f t="shared" si="2"/>
        <v>39</v>
      </c>
      <c r="C45" s="354">
        <f t="shared" si="3"/>
        <v>14</v>
      </c>
      <c r="D45" s="316">
        <f t="shared" si="4"/>
        <v>39</v>
      </c>
      <c r="E45" s="100">
        <f t="shared" si="5"/>
        <v>30</v>
      </c>
      <c r="F45" s="99">
        <f t="shared" si="6"/>
        <v>39</v>
      </c>
      <c r="G45" s="101" t="str">
        <f t="shared" si="7"/>
        <v/>
      </c>
      <c r="H45" s="99">
        <f t="shared" si="8"/>
        <v>-961</v>
      </c>
      <c r="I45" s="102" t="str">
        <f t="shared" si="9"/>
        <v/>
      </c>
      <c r="J45" s="103">
        <f t="shared" si="10"/>
        <v>-961</v>
      </c>
      <c r="K45" s="70">
        <f t="shared" si="11"/>
        <v>39</v>
      </c>
      <c r="L45" s="131" t="s">
        <v>108</v>
      </c>
      <c r="M45" s="105"/>
      <c r="N45" s="106" t="str">
        <f>IF(M45="","m","")</f>
        <v>m</v>
      </c>
      <c r="O45" s="107"/>
      <c r="P45" s="108" t="s">
        <v>233</v>
      </c>
      <c r="Q45" s="109" t="s">
        <v>86</v>
      </c>
      <c r="R45" s="110">
        <f>(IF(COUNT(Z45,AA45,AB45,AC45,AD45,AE45,AF45,AG45,AH45,AI45)&lt;10,SUM(Z45,AA45,AB45,AC45,AD45,AE45,AF45,AG45,AH45,AI45),SUM(LARGE((Z45,AA45,AB45,AC45,AD45,AE45,AF45,AG45,AH45,AI45),{1;2;3;4;5;6;7;8;9}))))</f>
        <v>16</v>
      </c>
      <c r="S45" s="111" t="str">
        <f>INDEX(ETAPP!B$1:B$32,MATCH(COUNTIF(BI45:BR45,1),ETAPP!A$1:A$32,0))&amp;INDEX(ETAPP!B$1:B$32,MATCH(COUNTIF(BI45:BR45,2),ETAPP!A$1:A$32,0))&amp;INDEX(ETAPP!B$1:B$32,MATCH(COUNTIF(BI45:BR45,3),ETAPP!A$1:A$32,0))&amp;INDEX(ETAPP!B$1:B$32,MATCH(COUNTIF(BI45:BR45,4),ETAPP!A$1:A$32,0))&amp;INDEX(ETAPP!B$1:B$32,MATCH(COUNTIF(BI45:BR45,5),ETAPP!A$1:A$32,0))&amp;INDEX(ETAPP!B$1:B$32,MATCH(COUNTIF(BI45:BR45,6),ETAPP!A$1:A$32,0))&amp;INDEX(ETAPP!B$1:B$32,MATCH(COUNTIF(BI45:BR45,7),ETAPP!A$1:A$32,0))&amp;INDEX(ETAPP!B$1:B$32,MATCH(COUNTIF(BI45:BR45,8),ETAPP!A$1:A$32,0))&amp;INDEX(ETAPP!B$1:B$32,MATCH(COUNTIF(BI45:BR45,9),ETAPP!A$1:A$32,0))&amp;INDEX(ETAPP!B$1:B$32,MATCH(COUNTIF(BI45:BR45,10),ETAPP!A$1:A$32,0))&amp;INDEX(ETAPP!B$1:B$32,MATCH(COUNTIF(BI45:BR45,11),ETAPP!A$1:A$32,0))&amp;INDEX(ETAPP!B$1:B$32,MATCH(COUNTIF(BI45:BR45,12),ETAPP!A$1:A$32,0))&amp;INDEX(ETAPP!B$1:B$32,MATCH(COUNTIF(BI45:BR45,13),ETAPP!A$1:A$32,0))&amp;INDEX(ETAPP!B$1:B$32,MATCH(COUNTIF(BI45:BR45,14),ETAPP!A$1:A$32,0))&amp;INDEX(ETAPP!B$1:B$32,MATCH(COUNTIF(BI45:BR45,15),ETAPP!A$1:A$32,0))&amp;INDEX(ETAPP!B$1:B$32,MATCH(COUNTIF(BI45:BR45,16),ETAPP!A$1:A$32,0))&amp;INDEX(ETAPP!B$1:B$32,MATCH(COUNTIF(BI45:BR45,17),ETAPP!A$1:A$32,0))&amp;INDEX(ETAPP!B$1:B$32,MATCH(COUNTIF(BI45:BR45,18),ETAPP!A$1:A$32,0))&amp;INDEX(ETAPP!B$1:B$32,MATCH(COUNTIF(BI45:BR45,19),ETAPP!A$1:A$32,0))&amp;INDEX(ETAPP!B$1:B$32,MATCH(COUNTIF(BI45:BR45,20),ETAPP!A$1:A$32,0))&amp;INDEX(ETAPP!B$1:B$32,MATCH(COUNTIF(BI45:BR45,21),ETAPP!A$1:A$32,0))</f>
        <v>0000000000A0000000000</v>
      </c>
      <c r="T45" s="111" t="str">
        <f t="shared" si="12"/>
        <v>016,0-0000000000A0000000000</v>
      </c>
      <c r="U45" s="111">
        <f t="shared" si="13"/>
        <v>39</v>
      </c>
      <c r="V45" s="111">
        <f t="shared" si="14"/>
        <v>6</v>
      </c>
      <c r="W45" s="111" t="str">
        <f t="shared" si="15"/>
        <v>016,0-0000000000A0000000000-006</v>
      </c>
      <c r="X45" s="111">
        <f t="shared" si="16"/>
        <v>39</v>
      </c>
      <c r="Y45" s="112">
        <f t="shared" si="17"/>
        <v>7</v>
      </c>
      <c r="Z45" s="113" t="str">
        <f>IFERROR(INDEX('V1'!C$300:C$400,MATCH("*"&amp;L45&amp;"*",'V1'!B$300:B$400,0)),"  ")</f>
        <v xml:space="preserve">  </v>
      </c>
      <c r="AA45" s="113" t="str">
        <f>IFERROR(INDEX('V2'!C$300:C$389,MATCH("*"&amp;L45&amp;"*",'V2'!B$300:B$389,0)),"  ")</f>
        <v xml:space="preserve">  </v>
      </c>
      <c r="AB45" s="113">
        <f>IFERROR(INDEX('V3'!C$300:C$399,MATCH("*"&amp;L45&amp;"*",'V3'!B$300:B$399,0)),"  ")</f>
        <v>4</v>
      </c>
      <c r="AC45" s="113">
        <f>IFERROR(INDEX('V4'!C$300:C$400,MATCH("*"&amp;L45&amp;"*",'V4'!B$300:B$400,0)),"  ")</f>
        <v>12</v>
      </c>
      <c r="AD45" s="113" t="str">
        <f>IFERROR(INDEX('V5'!C$300:C$400,MATCH("*"&amp;L45&amp;"*",'V5'!B$300:B$400,0)),"  ")</f>
        <v xml:space="preserve">  </v>
      </c>
      <c r="AE45" s="113" t="str">
        <f>IFERROR(INDEX('V6'!C$300:C$400,MATCH("*"&amp;L45&amp;"*",'V6'!B$300:B$400,0)),"  ")</f>
        <v xml:space="preserve">  </v>
      </c>
      <c r="AF45" s="113" t="str">
        <f>IFERROR(INDEX('V7'!C$300:C$400,MATCH("*"&amp;L45&amp;"*",'V7'!B$300:B$400,0)),"  ")</f>
        <v xml:space="preserve">  </v>
      </c>
      <c r="AG45" s="113" t="str">
        <f>IFERROR(INDEX('V8'!C$300:C$400,MATCH("*"&amp;L45&amp;"*",'V8'!B$300:B$400,0)),"  ")</f>
        <v xml:space="preserve">  </v>
      </c>
      <c r="AH45" s="113" t="str">
        <f>IFERROR(INDEX('V9'!C$300:C$400,MATCH("*"&amp;L45&amp;"*",'V9'!B$300:B$400,0)),"  ")</f>
        <v xml:space="preserve">  </v>
      </c>
      <c r="AI45" s="113" t="str">
        <f>IFERROR(INDEX('V10'!C$300:C$400,MATCH("*"&amp;L45&amp;"*",'V10'!B$300:B$400,0)),"  ")</f>
        <v xml:space="preserve">  </v>
      </c>
      <c r="AJ45" s="114" t="str">
        <f t="shared" si="18"/>
        <v/>
      </c>
      <c r="AK45" s="346">
        <f t="shared" si="19"/>
        <v>16</v>
      </c>
      <c r="AL45" s="115">
        <f t="shared" si="20"/>
        <v>39</v>
      </c>
      <c r="AM45" s="116" t="str">
        <f>IFERROR(INDEX(#REF!,MATCH("*"&amp;L45&amp;"*",#REF!,0)),"  ")</f>
        <v xml:space="preserve">  </v>
      </c>
      <c r="AN45" s="117">
        <f t="shared" si="21"/>
        <v>2</v>
      </c>
      <c r="AO45" s="118">
        <f t="shared" si="22"/>
        <v>0</v>
      </c>
      <c r="AP45" s="118">
        <f t="shared" si="23"/>
        <v>0</v>
      </c>
      <c r="AQ45" s="48"/>
      <c r="AT45" s="119">
        <f t="shared" si="24"/>
        <v>1E-4</v>
      </c>
      <c r="AU45" s="120">
        <f t="shared" si="25"/>
        <v>1E-4</v>
      </c>
      <c r="AV45" s="120">
        <f t="shared" si="26"/>
        <v>2.0000000000000001E-4</v>
      </c>
      <c r="AW45" s="120">
        <f t="shared" si="27"/>
        <v>4.0003000000000002</v>
      </c>
      <c r="AX45" s="120">
        <f t="shared" si="28"/>
        <v>12.000400000000001</v>
      </c>
      <c r="AY45" s="120">
        <f t="shared" si="29"/>
        <v>5.0000000000000001E-4</v>
      </c>
      <c r="AZ45" s="120">
        <f t="shared" si="30"/>
        <v>5.9999999999999995E-4</v>
      </c>
      <c r="BA45" s="120">
        <f t="shared" si="31"/>
        <v>6.9999999999999999E-4</v>
      </c>
      <c r="BB45" s="120">
        <f t="shared" si="32"/>
        <v>8.0000000000000004E-4</v>
      </c>
      <c r="BC45" s="120">
        <f t="shared" si="33"/>
        <v>8.9999999999999998E-4</v>
      </c>
      <c r="BD45" s="120">
        <f t="shared" si="34"/>
        <v>1E-3</v>
      </c>
      <c r="BI45" s="1" t="e">
        <f t="shared" si="35"/>
        <v>#VALUE!</v>
      </c>
      <c r="BJ45" s="1" t="e">
        <f t="shared" si="36"/>
        <v>#VALUE!</v>
      </c>
      <c r="BK45" s="1">
        <f t="shared" si="37"/>
        <v>11</v>
      </c>
      <c r="BL45" s="1">
        <f t="shared" si="38"/>
        <v>5.5</v>
      </c>
      <c r="BM45" s="1" t="e">
        <f t="shared" si="39"/>
        <v>#VALUE!</v>
      </c>
      <c r="BN45" s="1" t="e">
        <f t="shared" si="40"/>
        <v>#VALUE!</v>
      </c>
      <c r="BO45" s="1" t="e">
        <f t="shared" si="41"/>
        <v>#VALUE!</v>
      </c>
      <c r="BP45" s="1" t="e">
        <f t="shared" si="42"/>
        <v>#VALUE!</v>
      </c>
      <c r="BQ45" s="1" t="e">
        <f t="shared" si="43"/>
        <v>#VALUE!</v>
      </c>
      <c r="BR45" s="1" t="e">
        <f t="shared" si="44"/>
        <v>#VALUE!</v>
      </c>
    </row>
    <row r="46" spans="1:70" ht="12.75" customHeight="1" x14ac:dyDescent="0.2">
      <c r="A46" s="719">
        <f t="shared" si="1"/>
        <v>31</v>
      </c>
      <c r="B46" s="99">
        <f t="shared" si="2"/>
        <v>40</v>
      </c>
      <c r="C46" s="354" t="str">
        <f t="shared" si="3"/>
        <v/>
      </c>
      <c r="D46" s="316">
        <f t="shared" si="4"/>
        <v>-960</v>
      </c>
      <c r="E46" s="100">
        <f t="shared" si="5"/>
        <v>31</v>
      </c>
      <c r="F46" s="99">
        <f t="shared" si="6"/>
        <v>40</v>
      </c>
      <c r="G46" s="101" t="str">
        <f t="shared" si="7"/>
        <v/>
      </c>
      <c r="H46" s="99">
        <f t="shared" si="8"/>
        <v>-960</v>
      </c>
      <c r="I46" s="102" t="str">
        <f t="shared" si="9"/>
        <v/>
      </c>
      <c r="J46" s="103">
        <f t="shared" si="10"/>
        <v>-960</v>
      </c>
      <c r="K46" s="70">
        <f t="shared" si="11"/>
        <v>40</v>
      </c>
      <c r="L46" s="123" t="s">
        <v>60</v>
      </c>
      <c r="M46" s="105"/>
      <c r="N46" s="106" t="str">
        <f>IF(M46="","m","")</f>
        <v>m</v>
      </c>
      <c r="O46" s="107"/>
      <c r="P46" s="108"/>
      <c r="Q46" s="109" t="s">
        <v>86</v>
      </c>
      <c r="R46" s="110">
        <f>(IF(COUNT(Z46,AA46,AB46,AC46,AD46,AE46,AF46,AG46,AH46,AI46)&lt;10,SUM(Z46,AA46,AB46,AC46,AD46,AE46,AF46,AG46,AH46,AI46),SUM(LARGE((Z46,AA46,AB46,AC46,AD46,AE46,AF46,AG46,AH46,AI46),{1;2;3;4;5;6;7;8;9}))))</f>
        <v>12</v>
      </c>
      <c r="S46" s="111" t="str">
        <f>INDEX(ETAPP!B$1:B$32,MATCH(COUNTIF(BI46:BR46,1),ETAPP!A$1:A$32,0))&amp;INDEX(ETAPP!B$1:B$32,MATCH(COUNTIF(BI46:BR46,2),ETAPP!A$1:A$32,0))&amp;INDEX(ETAPP!B$1:B$32,MATCH(COUNTIF(BI46:BR46,3),ETAPP!A$1:A$32,0))&amp;INDEX(ETAPP!B$1:B$32,MATCH(COUNTIF(BI46:BR46,4),ETAPP!A$1:A$32,0))&amp;INDEX(ETAPP!B$1:B$32,MATCH(COUNTIF(BI46:BR46,5),ETAPP!A$1:A$32,0))&amp;INDEX(ETAPP!B$1:B$32,MATCH(COUNTIF(BI46:BR46,6),ETAPP!A$1:A$32,0))&amp;INDEX(ETAPP!B$1:B$32,MATCH(COUNTIF(BI46:BR46,7),ETAPP!A$1:A$32,0))&amp;INDEX(ETAPP!B$1:B$32,MATCH(COUNTIF(BI46:BR46,8),ETAPP!A$1:A$32,0))&amp;INDEX(ETAPP!B$1:B$32,MATCH(COUNTIF(BI46:BR46,9),ETAPP!A$1:A$32,0))&amp;INDEX(ETAPP!B$1:B$32,MATCH(COUNTIF(BI46:BR46,10),ETAPP!A$1:A$32,0))&amp;INDEX(ETAPP!B$1:B$32,MATCH(COUNTIF(BI46:BR46,11),ETAPP!A$1:A$32,0))&amp;INDEX(ETAPP!B$1:B$32,MATCH(COUNTIF(BI46:BR46,12),ETAPP!A$1:A$32,0))&amp;INDEX(ETAPP!B$1:B$32,MATCH(COUNTIF(BI46:BR46,13),ETAPP!A$1:A$32,0))&amp;INDEX(ETAPP!B$1:B$32,MATCH(COUNTIF(BI46:BR46,14),ETAPP!A$1:A$32,0))&amp;INDEX(ETAPP!B$1:B$32,MATCH(COUNTIF(BI46:BR46,15),ETAPP!A$1:A$32,0))&amp;INDEX(ETAPP!B$1:B$32,MATCH(COUNTIF(BI46:BR46,16),ETAPP!A$1:A$32,0))&amp;INDEX(ETAPP!B$1:B$32,MATCH(COUNTIF(BI46:BR46,17),ETAPP!A$1:A$32,0))&amp;INDEX(ETAPP!B$1:B$32,MATCH(COUNTIF(BI46:BR46,18),ETAPP!A$1:A$32,0))&amp;INDEX(ETAPP!B$1:B$32,MATCH(COUNTIF(BI46:BR46,19),ETAPP!A$1:A$32,0))&amp;INDEX(ETAPP!B$1:B$32,MATCH(COUNTIF(BI46:BR46,20),ETAPP!A$1:A$32,0))&amp;INDEX(ETAPP!B$1:B$32,MATCH(COUNTIF(BI46:BR46,21),ETAPP!A$1:A$32,0))</f>
        <v>000000000000000000000</v>
      </c>
      <c r="T46" s="111" t="str">
        <f t="shared" si="12"/>
        <v>012,0-000000000000000000000</v>
      </c>
      <c r="U46" s="111">
        <f t="shared" si="13"/>
        <v>40</v>
      </c>
      <c r="V46" s="111">
        <f t="shared" si="14"/>
        <v>36</v>
      </c>
      <c r="W46" s="111" t="str">
        <f t="shared" si="15"/>
        <v>012,0-000000000000000000000-036</v>
      </c>
      <c r="X46" s="111">
        <f t="shared" si="16"/>
        <v>40</v>
      </c>
      <c r="Y46" s="112">
        <f t="shared" si="17"/>
        <v>6</v>
      </c>
      <c r="Z46" s="113" t="str">
        <f>IFERROR(INDEX('V1'!C$300:C$400,MATCH("*"&amp;L46&amp;"*",'V1'!B$300:B$400,0)),"  ")</f>
        <v xml:space="preserve">  </v>
      </c>
      <c r="AA46" s="113" t="str">
        <f>IFERROR(INDEX('V2'!C$300:C$389,MATCH("*"&amp;L46&amp;"*",'V2'!B$300:B$389,0)),"  ")</f>
        <v xml:space="preserve">  </v>
      </c>
      <c r="AB46" s="113" t="str">
        <f>IFERROR(INDEX('V3'!C$300:C$399,MATCH("*"&amp;L46&amp;"*",'V3'!B$300:B$399,0)),"  ")</f>
        <v xml:space="preserve">  </v>
      </c>
      <c r="AC46" s="113" t="str">
        <f>IFERROR(INDEX('V4'!C$300:C$400,MATCH("*"&amp;L46&amp;"*",'V4'!B$300:B$400,0)),"  ")</f>
        <v xml:space="preserve">  </v>
      </c>
      <c r="AD46" s="113" t="str">
        <f>IFERROR(INDEX('V5'!C$300:C$400,MATCH("*"&amp;L46&amp;"*",'V5'!B$300:B$400,0)),"  ")</f>
        <v xml:space="preserve">  </v>
      </c>
      <c r="AE46" s="113" t="str">
        <f>IFERROR(INDEX('V6'!C$300:C$400,MATCH("*"&amp;L46&amp;"*",'V6'!B$300:B$400,0)),"  ")</f>
        <v xml:space="preserve">  </v>
      </c>
      <c r="AF46" s="113" t="str">
        <f>IFERROR(INDEX('V7'!C$300:C$400,MATCH("*"&amp;L46&amp;"*",'V7'!B$300:B$400,0)),"  ")</f>
        <v xml:space="preserve">  </v>
      </c>
      <c r="AG46" s="113" t="str">
        <f>IFERROR(INDEX('V8'!C$300:C$400,MATCH("*"&amp;L46&amp;"*",'V8'!B$300:B$400,0)),"  ")</f>
        <v xml:space="preserve">  </v>
      </c>
      <c r="AH46" s="113" t="str">
        <f>IFERROR(INDEX('V9'!C$300:C$400,MATCH("*"&amp;L46&amp;"*",'V9'!B$300:B$400,0)),"  ")</f>
        <v xml:space="preserve">  </v>
      </c>
      <c r="AI46" s="113">
        <f>IFERROR(INDEX('V10'!C$300:C$400,MATCH("*"&amp;L46&amp;"*",'V10'!B$300:B$400,0)),"  ")</f>
        <v>12</v>
      </c>
      <c r="AJ46" s="114" t="str">
        <f t="shared" si="18"/>
        <v/>
      </c>
      <c r="AK46" s="346">
        <f t="shared" si="19"/>
        <v>12</v>
      </c>
      <c r="AL46" s="115">
        <f t="shared" si="20"/>
        <v>40</v>
      </c>
      <c r="AM46" s="116" t="str">
        <f>IFERROR(INDEX(#REF!,MATCH("*"&amp;L46&amp;"*",#REF!,0)),"  ")</f>
        <v xml:space="preserve">  </v>
      </c>
      <c r="AN46" s="117">
        <f t="shared" si="21"/>
        <v>1</v>
      </c>
      <c r="AO46" s="118">
        <f t="shared" si="22"/>
        <v>0</v>
      </c>
      <c r="AP46" s="118">
        <f t="shared" si="23"/>
        <v>0</v>
      </c>
      <c r="AQ46" s="48"/>
      <c r="AT46" s="119">
        <f t="shared" si="24"/>
        <v>1E-4</v>
      </c>
      <c r="AU46" s="120">
        <f t="shared" si="25"/>
        <v>1E-4</v>
      </c>
      <c r="AV46" s="120">
        <f t="shared" si="26"/>
        <v>2.0000000000000001E-4</v>
      </c>
      <c r="AW46" s="120">
        <f t="shared" si="27"/>
        <v>2.9999999999999997E-4</v>
      </c>
      <c r="AX46" s="120">
        <f t="shared" si="28"/>
        <v>4.0000000000000002E-4</v>
      </c>
      <c r="AY46" s="120">
        <f t="shared" si="29"/>
        <v>5.0000000000000001E-4</v>
      </c>
      <c r="AZ46" s="120">
        <f t="shared" si="30"/>
        <v>5.9999999999999995E-4</v>
      </c>
      <c r="BA46" s="120">
        <f t="shared" si="31"/>
        <v>6.9999999999999999E-4</v>
      </c>
      <c r="BB46" s="120">
        <f t="shared" si="32"/>
        <v>8.0000000000000004E-4</v>
      </c>
      <c r="BC46" s="120">
        <f t="shared" si="33"/>
        <v>8.9999999999999998E-4</v>
      </c>
      <c r="BD46" s="120">
        <f t="shared" si="34"/>
        <v>12.000999999999999</v>
      </c>
      <c r="BI46" s="1" t="e">
        <f t="shared" si="35"/>
        <v>#VALUE!</v>
      </c>
      <c r="BJ46" s="1" t="e">
        <f t="shared" si="36"/>
        <v>#VALUE!</v>
      </c>
      <c r="BK46" s="1" t="e">
        <f t="shared" si="37"/>
        <v>#VALUE!</v>
      </c>
      <c r="BL46" s="1" t="e">
        <f t="shared" si="38"/>
        <v>#VALUE!</v>
      </c>
      <c r="BM46" s="1" t="e">
        <f t="shared" si="39"/>
        <v>#VALUE!</v>
      </c>
      <c r="BN46" s="1" t="e">
        <f t="shared" si="40"/>
        <v>#VALUE!</v>
      </c>
      <c r="BO46" s="1" t="e">
        <f t="shared" si="41"/>
        <v>#VALUE!</v>
      </c>
      <c r="BP46" s="1" t="e">
        <f t="shared" si="42"/>
        <v>#VALUE!</v>
      </c>
      <c r="BQ46" s="1" t="e">
        <f t="shared" si="43"/>
        <v>#VALUE!</v>
      </c>
      <c r="BR46" s="1">
        <f t="shared" si="44"/>
        <v>5.5</v>
      </c>
    </row>
    <row r="47" spans="1:70" ht="12.75" customHeight="1" x14ac:dyDescent="0.2">
      <c r="A47" s="719">
        <f t="shared" si="1"/>
        <v>32</v>
      </c>
      <c r="B47" s="99">
        <f t="shared" si="2"/>
        <v>42</v>
      </c>
      <c r="C47" s="354">
        <f t="shared" si="3"/>
        <v>15</v>
      </c>
      <c r="D47" s="316">
        <f t="shared" si="4"/>
        <v>42</v>
      </c>
      <c r="E47" s="100" t="str">
        <f t="shared" si="5"/>
        <v/>
      </c>
      <c r="F47" s="99">
        <f t="shared" si="6"/>
        <v>-958</v>
      </c>
      <c r="G47" s="101">
        <f t="shared" si="7"/>
        <v>9</v>
      </c>
      <c r="H47" s="99">
        <f t="shared" si="8"/>
        <v>42</v>
      </c>
      <c r="I47" s="102" t="str">
        <f t="shared" si="9"/>
        <v/>
      </c>
      <c r="J47" s="103">
        <f t="shared" si="10"/>
        <v>-958</v>
      </c>
      <c r="K47" s="70">
        <f t="shared" si="11"/>
        <v>41</v>
      </c>
      <c r="L47" s="123" t="s">
        <v>118</v>
      </c>
      <c r="M47" s="105" t="s">
        <v>104</v>
      </c>
      <c r="N47" s="106" t="str">
        <f>IF(M47="","m","")</f>
        <v/>
      </c>
      <c r="O47" s="107"/>
      <c r="P47" s="108" t="s">
        <v>233</v>
      </c>
      <c r="Q47" s="109" t="s">
        <v>86</v>
      </c>
      <c r="R47" s="110">
        <f>(IF(COUNT(Z47,AA47,AB47,AC47,AD47,AE47,AF47,AG47,AH47,AI47)&lt;10,SUM(Z47,AA47,AB47,AC47,AD47,AE47,AF47,AG47,AH47,AI47),SUM(LARGE((Z47,AA47,AB47,AC47,AD47,AE47,AF47,AG47,AH47,AI47),{1;2;3;4;5;6;7;8;9}))))</f>
        <v>6</v>
      </c>
      <c r="S47" s="111" t="str">
        <f>INDEX(ETAPP!B$1:B$32,MATCH(COUNTIF(BI47:BR47,1),ETAPP!A$1:A$32,0))&amp;INDEX(ETAPP!B$1:B$32,MATCH(COUNTIF(BI47:BR47,2),ETAPP!A$1:A$32,0))&amp;INDEX(ETAPP!B$1:B$32,MATCH(COUNTIF(BI47:BR47,3),ETAPP!A$1:A$32,0))&amp;INDEX(ETAPP!B$1:B$32,MATCH(COUNTIF(BI47:BR47,4),ETAPP!A$1:A$32,0))&amp;INDEX(ETAPP!B$1:B$32,MATCH(COUNTIF(BI47:BR47,5),ETAPP!A$1:A$32,0))&amp;INDEX(ETAPP!B$1:B$32,MATCH(COUNTIF(BI47:BR47,6),ETAPP!A$1:A$32,0))&amp;INDEX(ETAPP!B$1:B$32,MATCH(COUNTIF(BI47:BR47,7),ETAPP!A$1:A$32,0))&amp;INDEX(ETAPP!B$1:B$32,MATCH(COUNTIF(BI47:BR47,8),ETAPP!A$1:A$32,0))&amp;INDEX(ETAPP!B$1:B$32,MATCH(COUNTIF(BI47:BR47,9),ETAPP!A$1:A$32,0))&amp;INDEX(ETAPP!B$1:B$32,MATCH(COUNTIF(BI47:BR47,10),ETAPP!A$1:A$32,0))&amp;INDEX(ETAPP!B$1:B$32,MATCH(COUNTIF(BI47:BR47,11),ETAPP!A$1:A$32,0))&amp;INDEX(ETAPP!B$1:B$32,MATCH(COUNTIF(BI47:BR47,12),ETAPP!A$1:A$32,0))&amp;INDEX(ETAPP!B$1:B$32,MATCH(COUNTIF(BI47:BR47,13),ETAPP!A$1:A$32,0))&amp;INDEX(ETAPP!B$1:B$32,MATCH(COUNTIF(BI47:BR47,14),ETAPP!A$1:A$32,0))&amp;INDEX(ETAPP!B$1:B$32,MATCH(COUNTIF(BI47:BR47,15),ETAPP!A$1:A$32,0))&amp;INDEX(ETAPP!B$1:B$32,MATCH(COUNTIF(BI47:BR47,16),ETAPP!A$1:A$32,0))&amp;INDEX(ETAPP!B$1:B$32,MATCH(COUNTIF(BI47:BR47,17),ETAPP!A$1:A$32,0))&amp;INDEX(ETAPP!B$1:B$32,MATCH(COUNTIF(BI47:BR47,18),ETAPP!A$1:A$32,0))&amp;INDEX(ETAPP!B$1:B$32,MATCH(COUNTIF(BI47:BR47,19),ETAPP!A$1:A$32,0))&amp;INDEX(ETAPP!B$1:B$32,MATCH(COUNTIF(BI47:BR47,20),ETAPP!A$1:A$32,0))&amp;INDEX(ETAPP!B$1:B$32,MATCH(COUNTIF(BI47:BR47,21),ETAPP!A$1:A$32,0))</f>
        <v>0000000000A0000000000</v>
      </c>
      <c r="T47" s="111" t="str">
        <f t="shared" si="12"/>
        <v>006,0-0000000000A0000000000</v>
      </c>
      <c r="U47" s="111">
        <f t="shared" si="13"/>
        <v>42</v>
      </c>
      <c r="V47" s="111">
        <f t="shared" si="14"/>
        <v>44</v>
      </c>
      <c r="W47" s="111" t="str">
        <f t="shared" si="15"/>
        <v>006,0-0000000000A0000000000-044</v>
      </c>
      <c r="X47" s="111">
        <f t="shared" si="16"/>
        <v>41</v>
      </c>
      <c r="Y47" s="112">
        <f t="shared" si="17"/>
        <v>5</v>
      </c>
      <c r="Z47" s="113" t="str">
        <f>IFERROR(INDEX('V1'!C$300:C$400,MATCH("*"&amp;L47&amp;"*",'V1'!B$300:B$400,0)),"  ")</f>
        <v xml:space="preserve">  </v>
      </c>
      <c r="AA47" s="113" t="str">
        <f>IFERROR(INDEX('V2'!C$300:C$389,MATCH("*"&amp;L47&amp;"*",'V2'!B$300:B$389,0)),"  ")</f>
        <v xml:space="preserve">  </v>
      </c>
      <c r="AB47" s="113" t="str">
        <f>IFERROR(INDEX('V3'!C$300:C$399,MATCH("*"&amp;L47&amp;"*",'V3'!B$300:B$399,0)),"  ")</f>
        <v xml:space="preserve">  </v>
      </c>
      <c r="AC47" s="113" t="str">
        <f>IFERROR(INDEX('V4'!C$300:C$400,MATCH("*"&amp;L47&amp;"*",'V4'!B$300:B$400,0)),"  ")</f>
        <v xml:space="preserve">  </v>
      </c>
      <c r="AD47" s="113" t="str">
        <f>IFERROR(INDEX('V5'!C$300:C$400,MATCH("*"&amp;L47&amp;"*",'V5'!B$300:B$400,0)),"  ")</f>
        <v xml:space="preserve">  </v>
      </c>
      <c r="AE47" s="113" t="str">
        <f>IFERROR(INDEX('V6'!C$300:C$400,MATCH("*"&amp;L47&amp;"*",'V6'!B$300:B$400,0)),"  ")</f>
        <v xml:space="preserve">  </v>
      </c>
      <c r="AF47" s="113" t="str">
        <f>IFERROR(INDEX('V7'!C$300:C$400,MATCH("*"&amp;L47&amp;"*",'V7'!B$300:B$400,0)),"  ")</f>
        <v xml:space="preserve">  </v>
      </c>
      <c r="AG47" s="113" t="str">
        <f>IFERROR(INDEX('V8'!C$300:C$400,MATCH("*"&amp;L47&amp;"*",'V8'!B$300:B$400,0)),"  ")</f>
        <v xml:space="preserve">  </v>
      </c>
      <c r="AH47" s="113">
        <f>IFERROR(INDEX('V9'!C$300:C$400,MATCH("*"&amp;L47&amp;"*",'V9'!B$300:B$400,0)),"  ")</f>
        <v>6</v>
      </c>
      <c r="AI47" s="113" t="str">
        <f>IFERROR(INDEX('V10'!C$300:C$400,MATCH("*"&amp;L47&amp;"*",'V10'!B$300:B$400,0)),"  ")</f>
        <v xml:space="preserve">  </v>
      </c>
      <c r="AJ47" s="114" t="str">
        <f t="shared" si="18"/>
        <v/>
      </c>
      <c r="AK47" s="346">
        <f t="shared" si="19"/>
        <v>6</v>
      </c>
      <c r="AL47" s="115">
        <f t="shared" si="20"/>
        <v>41</v>
      </c>
      <c r="AM47" s="116" t="str">
        <f>IFERROR(INDEX(#REF!,MATCH("*"&amp;L47&amp;"*",#REF!,0)),"  ")</f>
        <v xml:space="preserve">  </v>
      </c>
      <c r="AN47" s="117">
        <f t="shared" si="21"/>
        <v>1</v>
      </c>
      <c r="AO47" s="118">
        <f t="shared" si="22"/>
        <v>0</v>
      </c>
      <c r="AP47" s="118">
        <f t="shared" si="23"/>
        <v>0</v>
      </c>
      <c r="AQ47" s="122"/>
      <c r="AR47" s="1"/>
      <c r="AS47" s="1"/>
      <c r="AT47" s="119">
        <f t="shared" si="24"/>
        <v>1E-4</v>
      </c>
      <c r="AU47" s="120">
        <f t="shared" si="25"/>
        <v>1E-4</v>
      </c>
      <c r="AV47" s="120">
        <f t="shared" si="26"/>
        <v>2.0000000000000001E-4</v>
      </c>
      <c r="AW47" s="120">
        <f t="shared" si="27"/>
        <v>2.9999999999999997E-4</v>
      </c>
      <c r="AX47" s="120">
        <f t="shared" si="28"/>
        <v>4.0000000000000002E-4</v>
      </c>
      <c r="AY47" s="120">
        <f t="shared" si="29"/>
        <v>5.0000000000000001E-4</v>
      </c>
      <c r="AZ47" s="120">
        <f t="shared" si="30"/>
        <v>5.9999999999999995E-4</v>
      </c>
      <c r="BA47" s="120">
        <f t="shared" si="31"/>
        <v>6.9999999999999999E-4</v>
      </c>
      <c r="BB47" s="120">
        <f t="shared" si="32"/>
        <v>8.0000000000000004E-4</v>
      </c>
      <c r="BC47" s="120">
        <f t="shared" si="33"/>
        <v>6.0008999999999997</v>
      </c>
      <c r="BD47" s="120">
        <f t="shared" si="34"/>
        <v>1E-3</v>
      </c>
      <c r="BI47" s="1" t="e">
        <f t="shared" si="35"/>
        <v>#VALUE!</v>
      </c>
      <c r="BJ47" s="1" t="e">
        <f t="shared" si="36"/>
        <v>#VALUE!</v>
      </c>
      <c r="BK47" s="1" t="e">
        <f t="shared" si="37"/>
        <v>#VALUE!</v>
      </c>
      <c r="BL47" s="1" t="e">
        <f t="shared" si="38"/>
        <v>#VALUE!</v>
      </c>
      <c r="BM47" s="1" t="e">
        <f t="shared" si="39"/>
        <v>#VALUE!</v>
      </c>
      <c r="BN47" s="1" t="e">
        <f t="shared" si="40"/>
        <v>#VALUE!</v>
      </c>
      <c r="BO47" s="1" t="e">
        <f t="shared" si="41"/>
        <v>#VALUE!</v>
      </c>
      <c r="BP47" s="1" t="e">
        <f t="shared" si="42"/>
        <v>#VALUE!</v>
      </c>
      <c r="BQ47" s="1">
        <f t="shared" si="43"/>
        <v>11</v>
      </c>
      <c r="BR47" s="1" t="e">
        <f t="shared" si="44"/>
        <v>#VALUE!</v>
      </c>
    </row>
    <row r="48" spans="1:70" ht="12.75" customHeight="1" x14ac:dyDescent="0.2">
      <c r="A48" s="719">
        <f t="shared" si="1"/>
        <v>32</v>
      </c>
      <c r="B48" s="99">
        <f t="shared" si="2"/>
        <v>42</v>
      </c>
      <c r="C48" s="354">
        <f t="shared" si="3"/>
        <v>15</v>
      </c>
      <c r="D48" s="316">
        <f t="shared" si="4"/>
        <v>42</v>
      </c>
      <c r="E48" s="100">
        <f t="shared" si="5"/>
        <v>32</v>
      </c>
      <c r="F48" s="99">
        <f t="shared" si="6"/>
        <v>42</v>
      </c>
      <c r="G48" s="101" t="str">
        <f t="shared" si="7"/>
        <v/>
      </c>
      <c r="H48" s="99">
        <f t="shared" si="8"/>
        <v>-958</v>
      </c>
      <c r="I48" s="102" t="str">
        <f t="shared" si="9"/>
        <v/>
      </c>
      <c r="J48" s="103">
        <f t="shared" si="10"/>
        <v>-958</v>
      </c>
      <c r="K48" s="70">
        <f t="shared" si="11"/>
        <v>41</v>
      </c>
      <c r="L48" s="969" t="s">
        <v>62</v>
      </c>
      <c r="M48" s="105"/>
      <c r="N48" s="106" t="str">
        <f>IF(M48="","m","")</f>
        <v>m</v>
      </c>
      <c r="O48" s="107"/>
      <c r="P48" s="108" t="s">
        <v>233</v>
      </c>
      <c r="Q48" s="109" t="s">
        <v>86</v>
      </c>
      <c r="R48" s="110">
        <f>(IF(COUNT(Z48,AA48,AB48,AC48,AD48,AE48,AF48,AG48,AH48,AI48)&lt;10,SUM(Z48,AA48,AB48,AC48,AD48,AE48,AF48,AG48,AH48,AI48),SUM(LARGE((Z48,AA48,AB48,AC48,AD48,AE48,AF48,AG48,AH48,AI48),{1;2;3;4;5;6;7;8;9}))))</f>
        <v>6</v>
      </c>
      <c r="S48" s="111" t="str">
        <f>INDEX(ETAPP!B$1:B$32,MATCH(COUNTIF(BI48:BR48,1),ETAPP!A$1:A$32,0))&amp;INDEX(ETAPP!B$1:B$32,MATCH(COUNTIF(BI48:BR48,2),ETAPP!A$1:A$32,0))&amp;INDEX(ETAPP!B$1:B$32,MATCH(COUNTIF(BI48:BR48,3),ETAPP!A$1:A$32,0))&amp;INDEX(ETAPP!B$1:B$32,MATCH(COUNTIF(BI48:BR48,4),ETAPP!A$1:A$32,0))&amp;INDEX(ETAPP!B$1:B$32,MATCH(COUNTIF(BI48:BR48,5),ETAPP!A$1:A$32,0))&amp;INDEX(ETAPP!B$1:B$32,MATCH(COUNTIF(BI48:BR48,6),ETAPP!A$1:A$32,0))&amp;INDEX(ETAPP!B$1:B$32,MATCH(COUNTIF(BI48:BR48,7),ETAPP!A$1:A$32,0))&amp;INDEX(ETAPP!B$1:B$32,MATCH(COUNTIF(BI48:BR48,8),ETAPP!A$1:A$32,0))&amp;INDEX(ETAPP!B$1:B$32,MATCH(COUNTIF(BI48:BR48,9),ETAPP!A$1:A$32,0))&amp;INDEX(ETAPP!B$1:B$32,MATCH(COUNTIF(BI48:BR48,10),ETAPP!A$1:A$32,0))&amp;INDEX(ETAPP!B$1:B$32,MATCH(COUNTIF(BI48:BR48,11),ETAPP!A$1:A$32,0))&amp;INDEX(ETAPP!B$1:B$32,MATCH(COUNTIF(BI48:BR48,12),ETAPP!A$1:A$32,0))&amp;INDEX(ETAPP!B$1:B$32,MATCH(COUNTIF(BI48:BR48,13),ETAPP!A$1:A$32,0))&amp;INDEX(ETAPP!B$1:B$32,MATCH(COUNTIF(BI48:BR48,14),ETAPP!A$1:A$32,0))&amp;INDEX(ETAPP!B$1:B$32,MATCH(COUNTIF(BI48:BR48,15),ETAPP!A$1:A$32,0))&amp;INDEX(ETAPP!B$1:B$32,MATCH(COUNTIF(BI48:BR48,16),ETAPP!A$1:A$32,0))&amp;INDEX(ETAPP!B$1:B$32,MATCH(COUNTIF(BI48:BR48,17),ETAPP!A$1:A$32,0))&amp;INDEX(ETAPP!B$1:B$32,MATCH(COUNTIF(BI48:BR48,18),ETAPP!A$1:A$32,0))&amp;INDEX(ETAPP!B$1:B$32,MATCH(COUNTIF(BI48:BR48,19),ETAPP!A$1:A$32,0))&amp;INDEX(ETAPP!B$1:B$32,MATCH(COUNTIF(BI48:BR48,20),ETAPP!A$1:A$32,0))&amp;INDEX(ETAPP!B$1:B$32,MATCH(COUNTIF(BI48:BR48,21),ETAPP!A$1:A$32,0))</f>
        <v>0000000000A0000000000</v>
      </c>
      <c r="T48" s="111" t="str">
        <f t="shared" si="12"/>
        <v>006,0-0000000000A0000000000</v>
      </c>
      <c r="U48" s="111">
        <f t="shared" si="13"/>
        <v>42</v>
      </c>
      <c r="V48" s="111">
        <f t="shared" si="14"/>
        <v>24</v>
      </c>
      <c r="W48" s="111" t="str">
        <f t="shared" si="15"/>
        <v>006,0-0000000000A0000000000-024</v>
      </c>
      <c r="X48" s="111">
        <f t="shared" si="16"/>
        <v>42</v>
      </c>
      <c r="Y48" s="112">
        <f t="shared" si="17"/>
        <v>4</v>
      </c>
      <c r="Z48" s="113" t="str">
        <f>IFERROR(INDEX('V1'!C$300:C$400,MATCH("*"&amp;L48&amp;"*",'V1'!B$300:B$400,0)),"  ")</f>
        <v xml:space="preserve">  </v>
      </c>
      <c r="AA48" s="113" t="str">
        <f>IFERROR(INDEX('V2'!C$300:C$389,MATCH("*"&amp;L48&amp;"*",'V2'!B$300:B$389,0)),"  ")</f>
        <v xml:space="preserve">  </v>
      </c>
      <c r="AB48" s="113" t="str">
        <f>IFERROR(INDEX('V3'!C$300:C$399,MATCH("*"&amp;L48&amp;"*",'V3'!B$300:B$399,0)),"  ")</f>
        <v xml:space="preserve">  </v>
      </c>
      <c r="AC48" s="113" t="str">
        <f>IFERROR(INDEX('V4'!C$300:C$400,MATCH("*"&amp;L48&amp;"*",'V4'!B$300:B$400,0)),"  ")</f>
        <v xml:space="preserve">  </v>
      </c>
      <c r="AD48" s="113" t="str">
        <f>IFERROR(INDEX('V5'!C$300:C$400,MATCH("*"&amp;L48&amp;"*",'V5'!B$300:B$400,0)),"  ")</f>
        <v xml:space="preserve">  </v>
      </c>
      <c r="AE48" s="113" t="str">
        <f>IFERROR(INDEX('V6'!C$300:C$400,MATCH("*"&amp;L48&amp;"*",'V6'!B$300:B$400,0)),"  ")</f>
        <v xml:space="preserve">  </v>
      </c>
      <c r="AF48" s="113" t="str">
        <f>IFERROR(INDEX('V7'!C$300:C$400,MATCH("*"&amp;L48&amp;"*",'V7'!B$300:B$400,0)),"  ")</f>
        <v xml:space="preserve">  </v>
      </c>
      <c r="AG48" s="113" t="str">
        <f>IFERROR(INDEX('V8'!C$300:C$400,MATCH("*"&amp;L48&amp;"*",'V8'!B$300:B$400,0)),"  ")</f>
        <v xml:space="preserve">  </v>
      </c>
      <c r="AH48" s="113">
        <f>IFERROR(INDEX('V9'!C$300:C$400,MATCH("*"&amp;L48&amp;"*",'V9'!B$300:B$400,0)),"  ")</f>
        <v>6</v>
      </c>
      <c r="AI48" s="113" t="str">
        <f>IFERROR(INDEX('V10'!C$300:C$400,MATCH("*"&amp;L48&amp;"*",'V10'!B$300:B$400,0)),"  ")</f>
        <v xml:space="preserve">  </v>
      </c>
      <c r="AJ48" s="114" t="str">
        <f t="shared" si="18"/>
        <v/>
      </c>
      <c r="AK48" s="346">
        <f t="shared" si="19"/>
        <v>6</v>
      </c>
      <c r="AL48" s="115">
        <f t="shared" si="20"/>
        <v>41</v>
      </c>
      <c r="AM48" s="116" t="str">
        <f>IFERROR(INDEX(#REF!,MATCH("*"&amp;L48&amp;"*",#REF!,0)),"  ")</f>
        <v xml:space="preserve">  </v>
      </c>
      <c r="AN48" s="117">
        <f t="shared" si="21"/>
        <v>1</v>
      </c>
      <c r="AO48" s="118">
        <f t="shared" si="22"/>
        <v>0</v>
      </c>
      <c r="AP48" s="118">
        <f t="shared" si="23"/>
        <v>0</v>
      </c>
      <c r="AQ48" s="48"/>
      <c r="AR48" s="1"/>
      <c r="AS48" s="1"/>
      <c r="AT48" s="119">
        <f t="shared" si="24"/>
        <v>1E-4</v>
      </c>
      <c r="AU48" s="120">
        <f t="shared" si="25"/>
        <v>1E-4</v>
      </c>
      <c r="AV48" s="120">
        <f t="shared" si="26"/>
        <v>2.0000000000000001E-4</v>
      </c>
      <c r="AW48" s="120">
        <f t="shared" si="27"/>
        <v>2.9999999999999997E-4</v>
      </c>
      <c r="AX48" s="120">
        <f t="shared" si="28"/>
        <v>4.0000000000000002E-4</v>
      </c>
      <c r="AY48" s="120">
        <f t="shared" si="29"/>
        <v>5.0000000000000001E-4</v>
      </c>
      <c r="AZ48" s="120">
        <f t="shared" si="30"/>
        <v>5.9999999999999995E-4</v>
      </c>
      <c r="BA48" s="120">
        <f t="shared" si="31"/>
        <v>6.9999999999999999E-4</v>
      </c>
      <c r="BB48" s="120">
        <f t="shared" si="32"/>
        <v>8.0000000000000004E-4</v>
      </c>
      <c r="BC48" s="120">
        <f t="shared" si="33"/>
        <v>6.0008999999999997</v>
      </c>
      <c r="BD48" s="120">
        <f t="shared" si="34"/>
        <v>1E-3</v>
      </c>
      <c r="BI48" s="1" t="e">
        <f t="shared" si="35"/>
        <v>#VALUE!</v>
      </c>
      <c r="BJ48" s="1" t="e">
        <f t="shared" si="36"/>
        <v>#VALUE!</v>
      </c>
      <c r="BK48" s="1" t="e">
        <f t="shared" si="37"/>
        <v>#VALUE!</v>
      </c>
      <c r="BL48" s="1" t="e">
        <f t="shared" si="38"/>
        <v>#VALUE!</v>
      </c>
      <c r="BM48" s="1" t="e">
        <f t="shared" si="39"/>
        <v>#VALUE!</v>
      </c>
      <c r="BN48" s="1" t="e">
        <f t="shared" si="40"/>
        <v>#VALUE!</v>
      </c>
      <c r="BO48" s="1" t="e">
        <f t="shared" si="41"/>
        <v>#VALUE!</v>
      </c>
      <c r="BP48" s="1" t="e">
        <f t="shared" si="42"/>
        <v>#VALUE!</v>
      </c>
      <c r="BQ48" s="1">
        <f t="shared" si="43"/>
        <v>11</v>
      </c>
      <c r="BR48" s="1" t="e">
        <f t="shared" si="44"/>
        <v>#VALUE!</v>
      </c>
    </row>
    <row r="49" spans="1:70" ht="12.75" customHeight="1" x14ac:dyDescent="0.2">
      <c r="A49" s="719">
        <f t="shared" si="1"/>
        <v>34</v>
      </c>
      <c r="B49" s="99">
        <f t="shared" si="2"/>
        <v>43</v>
      </c>
      <c r="C49" s="354" t="str">
        <f t="shared" si="3"/>
        <v/>
      </c>
      <c r="D49" s="316">
        <f t="shared" si="4"/>
        <v>-957</v>
      </c>
      <c r="E49" s="100">
        <f t="shared" si="5"/>
        <v>33</v>
      </c>
      <c r="F49" s="99">
        <f t="shared" si="6"/>
        <v>43</v>
      </c>
      <c r="G49" s="101" t="str">
        <f t="shared" si="7"/>
        <v/>
      </c>
      <c r="H49" s="99">
        <f t="shared" si="8"/>
        <v>-957</v>
      </c>
      <c r="I49" s="102" t="str">
        <f t="shared" si="9"/>
        <v/>
      </c>
      <c r="J49" s="103">
        <f t="shared" si="10"/>
        <v>-957</v>
      </c>
      <c r="K49" s="70">
        <f t="shared" si="11"/>
        <v>43</v>
      </c>
      <c r="L49" s="131" t="s">
        <v>120</v>
      </c>
      <c r="M49" s="105"/>
      <c r="N49" s="106" t="str">
        <f>IF(M49="","m","")</f>
        <v>m</v>
      </c>
      <c r="O49" s="107"/>
      <c r="P49" s="108"/>
      <c r="Q49" s="109" t="s">
        <v>86</v>
      </c>
      <c r="R49" s="110">
        <f>(IF(COUNT(Z49,AA49,AB49,AC49,AD49,AE49,AF49,AG49,AH49,AI49)&lt;10,SUM(Z49,AA49,AB49,AC49,AD49,AE49,AF49,AG49,AH49,AI49),SUM(LARGE((Z49,AA49,AB49,AC49,AD49,AE49,AF49,AG49,AH49,AI49),{1;2;3;4;5;6;7;8;9}))))</f>
        <v>6</v>
      </c>
      <c r="S49" s="111" t="str">
        <f>INDEX(ETAPP!B$1:B$32,MATCH(COUNTIF(BI49:BR49,1),ETAPP!A$1:A$32,0))&amp;INDEX(ETAPP!B$1:B$32,MATCH(COUNTIF(BI49:BR49,2),ETAPP!A$1:A$32,0))&amp;INDEX(ETAPP!B$1:B$32,MATCH(COUNTIF(BI49:BR49,3),ETAPP!A$1:A$32,0))&amp;INDEX(ETAPP!B$1:B$32,MATCH(COUNTIF(BI49:BR49,4),ETAPP!A$1:A$32,0))&amp;INDEX(ETAPP!B$1:B$32,MATCH(COUNTIF(BI49:BR49,5),ETAPP!A$1:A$32,0))&amp;INDEX(ETAPP!B$1:B$32,MATCH(COUNTIF(BI49:BR49,6),ETAPP!A$1:A$32,0))&amp;INDEX(ETAPP!B$1:B$32,MATCH(COUNTIF(BI49:BR49,7),ETAPP!A$1:A$32,0))&amp;INDEX(ETAPP!B$1:B$32,MATCH(COUNTIF(BI49:BR49,8),ETAPP!A$1:A$32,0))&amp;INDEX(ETAPP!B$1:B$32,MATCH(COUNTIF(BI49:BR49,9),ETAPP!A$1:A$32,0))&amp;INDEX(ETAPP!B$1:B$32,MATCH(COUNTIF(BI49:BR49,10),ETAPP!A$1:A$32,0))&amp;INDEX(ETAPP!B$1:B$32,MATCH(COUNTIF(BI49:BR49,11),ETAPP!A$1:A$32,0))&amp;INDEX(ETAPP!B$1:B$32,MATCH(COUNTIF(BI49:BR49,12),ETAPP!A$1:A$32,0))&amp;INDEX(ETAPP!B$1:B$32,MATCH(COUNTIF(BI49:BR49,13),ETAPP!A$1:A$32,0))&amp;INDEX(ETAPP!B$1:B$32,MATCH(COUNTIF(BI49:BR49,14),ETAPP!A$1:A$32,0))&amp;INDEX(ETAPP!B$1:B$32,MATCH(COUNTIF(BI49:BR49,15),ETAPP!A$1:A$32,0))&amp;INDEX(ETAPP!B$1:B$32,MATCH(COUNTIF(BI49:BR49,16),ETAPP!A$1:A$32,0))&amp;INDEX(ETAPP!B$1:B$32,MATCH(COUNTIF(BI49:BR49,17),ETAPP!A$1:A$32,0))&amp;INDEX(ETAPP!B$1:B$32,MATCH(COUNTIF(BI49:BR49,18),ETAPP!A$1:A$32,0))&amp;INDEX(ETAPP!B$1:B$32,MATCH(COUNTIF(BI49:BR49,19),ETAPP!A$1:A$32,0))&amp;INDEX(ETAPP!B$1:B$32,MATCH(COUNTIF(BI49:BR49,20),ETAPP!A$1:A$32,0))&amp;INDEX(ETAPP!B$1:B$32,MATCH(COUNTIF(BI49:BR49,21),ETAPP!A$1:A$32,0))</f>
        <v>000000000000000000000</v>
      </c>
      <c r="T49" s="111" t="str">
        <f t="shared" si="12"/>
        <v>006,0-000000000000000000000</v>
      </c>
      <c r="U49" s="111">
        <f t="shared" si="13"/>
        <v>43</v>
      </c>
      <c r="V49" s="111">
        <f t="shared" si="14"/>
        <v>38</v>
      </c>
      <c r="W49" s="111" t="str">
        <f t="shared" si="15"/>
        <v>006,0-000000000000000000000-038</v>
      </c>
      <c r="X49" s="111">
        <f t="shared" si="16"/>
        <v>43</v>
      </c>
      <c r="Y49" s="112">
        <f t="shared" si="17"/>
        <v>3</v>
      </c>
      <c r="Z49" s="113" t="str">
        <f>IFERROR(INDEX('V1'!C$300:C$400,MATCH("*"&amp;L49&amp;"*",'V1'!B$300:B$400,0)),"  ")</f>
        <v xml:space="preserve">  </v>
      </c>
      <c r="AA49" s="113">
        <f>IFERROR(INDEX('V2'!C$300:C$389,MATCH("*"&amp;L49&amp;"*",'V2'!B$300:B$389,0)),"  ")</f>
        <v>6</v>
      </c>
      <c r="AB49" s="113" t="str">
        <f>IFERROR(INDEX('V3'!C$300:C$399,MATCH("*"&amp;L49&amp;"*",'V3'!B$300:B$399,0)),"  ")</f>
        <v xml:space="preserve">  </v>
      </c>
      <c r="AC49" s="113" t="str">
        <f>IFERROR(INDEX('V4'!C$300:C$400,MATCH("*"&amp;L49&amp;"*",'V4'!B$300:B$400,0)),"  ")</f>
        <v xml:space="preserve">  </v>
      </c>
      <c r="AD49" s="113" t="str">
        <f>IFERROR(INDEX('V5'!C$300:C$400,MATCH("*"&amp;L49&amp;"*",'V5'!B$300:B$400,0)),"  ")</f>
        <v xml:space="preserve">  </v>
      </c>
      <c r="AE49" s="113" t="str">
        <f>IFERROR(INDEX('V6'!C$300:C$400,MATCH("*"&amp;L49&amp;"*",'V6'!B$300:B$400,0)),"  ")</f>
        <v xml:space="preserve">  </v>
      </c>
      <c r="AF49" s="113" t="str">
        <f>IFERROR(INDEX('V7'!C$300:C$400,MATCH("*"&amp;L49&amp;"*",'V7'!B$300:B$400,0)),"  ")</f>
        <v xml:space="preserve">  </v>
      </c>
      <c r="AG49" s="113" t="str">
        <f>IFERROR(INDEX('V8'!C$300:C$400,MATCH("*"&amp;L49&amp;"*",'V8'!B$300:B$400,0)),"  ")</f>
        <v xml:space="preserve">  </v>
      </c>
      <c r="AH49" s="113" t="str">
        <f>IFERROR(INDEX('V9'!C$300:C$400,MATCH("*"&amp;L49&amp;"*",'V9'!B$300:B$400,0)),"  ")</f>
        <v xml:space="preserve">  </v>
      </c>
      <c r="AI49" s="113" t="str">
        <f>IFERROR(INDEX('V10'!C$300:C$400,MATCH("*"&amp;L49&amp;"*",'V10'!B$300:B$400,0)),"  ")</f>
        <v xml:space="preserve">  </v>
      </c>
      <c r="AJ49" s="114" t="str">
        <f t="shared" si="18"/>
        <v/>
      </c>
      <c r="AK49" s="346">
        <f t="shared" si="19"/>
        <v>6</v>
      </c>
      <c r="AL49" s="115">
        <f t="shared" si="20"/>
        <v>43</v>
      </c>
      <c r="AM49" s="116" t="str">
        <f>IFERROR(INDEX(#REF!,MATCH("*"&amp;L49&amp;"*",#REF!,0)),"  ")</f>
        <v xml:space="preserve">  </v>
      </c>
      <c r="AN49" s="117">
        <f t="shared" si="21"/>
        <v>1</v>
      </c>
      <c r="AO49" s="118">
        <f t="shared" si="22"/>
        <v>0</v>
      </c>
      <c r="AP49" s="118">
        <f t="shared" si="23"/>
        <v>0</v>
      </c>
      <c r="AQ49" s="48"/>
      <c r="AR49" s="1"/>
      <c r="AS49" s="1"/>
      <c r="AT49" s="119">
        <f t="shared" si="24"/>
        <v>1E-4</v>
      </c>
      <c r="AU49" s="120">
        <f t="shared" si="25"/>
        <v>1E-4</v>
      </c>
      <c r="AV49" s="120">
        <f t="shared" si="26"/>
        <v>6.0002000000000004</v>
      </c>
      <c r="AW49" s="120">
        <f t="shared" si="27"/>
        <v>2.9999999999999997E-4</v>
      </c>
      <c r="AX49" s="120">
        <f t="shared" si="28"/>
        <v>4.0000000000000002E-4</v>
      </c>
      <c r="AY49" s="120">
        <f t="shared" si="29"/>
        <v>5.0000000000000001E-4</v>
      </c>
      <c r="AZ49" s="120">
        <f t="shared" si="30"/>
        <v>5.9999999999999995E-4</v>
      </c>
      <c r="BA49" s="120">
        <f t="shared" si="31"/>
        <v>6.9999999999999999E-4</v>
      </c>
      <c r="BB49" s="120">
        <f t="shared" si="32"/>
        <v>8.0000000000000004E-4</v>
      </c>
      <c r="BC49" s="120">
        <f t="shared" si="33"/>
        <v>8.9999999999999998E-4</v>
      </c>
      <c r="BD49" s="120">
        <f t="shared" si="34"/>
        <v>1E-3</v>
      </c>
      <c r="BI49" s="1" t="e">
        <f t="shared" si="35"/>
        <v>#VALUE!</v>
      </c>
      <c r="BJ49" s="1">
        <f t="shared" si="36"/>
        <v>8.5</v>
      </c>
      <c r="BK49" s="1" t="e">
        <f t="shared" si="37"/>
        <v>#VALUE!</v>
      </c>
      <c r="BL49" s="1" t="e">
        <f t="shared" si="38"/>
        <v>#VALUE!</v>
      </c>
      <c r="BM49" s="1" t="e">
        <f t="shared" si="39"/>
        <v>#VALUE!</v>
      </c>
      <c r="BN49" s="1" t="e">
        <f t="shared" si="40"/>
        <v>#VALUE!</v>
      </c>
      <c r="BO49" s="1" t="e">
        <f t="shared" si="41"/>
        <v>#VALUE!</v>
      </c>
      <c r="BP49" s="1" t="e">
        <f t="shared" si="42"/>
        <v>#VALUE!</v>
      </c>
      <c r="BQ49" s="1" t="e">
        <f t="shared" si="43"/>
        <v>#VALUE!</v>
      </c>
      <c r="BR49" s="1" t="e">
        <f t="shared" si="44"/>
        <v>#VALUE!</v>
      </c>
    </row>
    <row r="50" spans="1:70" ht="12.75" customHeight="1" x14ac:dyDescent="0.2">
      <c r="A50" s="719" t="str">
        <f t="shared" si="1"/>
        <v/>
      </c>
      <c r="B50" s="99">
        <f t="shared" si="2"/>
        <v>-955</v>
      </c>
      <c r="C50" s="354" t="str">
        <f t="shared" si="3"/>
        <v/>
      </c>
      <c r="D50" s="316">
        <f t="shared" si="4"/>
        <v>-955</v>
      </c>
      <c r="E50" s="100" t="str">
        <f t="shared" si="5"/>
        <v/>
      </c>
      <c r="F50" s="99">
        <f t="shared" si="6"/>
        <v>-955</v>
      </c>
      <c r="G50" s="101">
        <f t="shared" si="7"/>
        <v>10</v>
      </c>
      <c r="H50" s="99">
        <f t="shared" si="8"/>
        <v>45</v>
      </c>
      <c r="I50" s="102" t="str">
        <f t="shared" si="9"/>
        <v/>
      </c>
      <c r="J50" s="103">
        <f t="shared" si="10"/>
        <v>-955</v>
      </c>
      <c r="K50" s="70">
        <f t="shared" si="11"/>
        <v>44</v>
      </c>
      <c r="L50" s="121" t="s">
        <v>223</v>
      </c>
      <c r="M50" s="105" t="s">
        <v>104</v>
      </c>
      <c r="N50" s="106"/>
      <c r="O50" s="138"/>
      <c r="P50" s="108"/>
      <c r="Q50" s="109" t="s">
        <v>309</v>
      </c>
      <c r="R50" s="110">
        <f>(IF(COUNT(Z50,AA50,AB50,AC50,AD50,AE50,AF50,AG50,AH50,AI50)&lt;10,SUM(Z50,AA50,AB50,AC50,AD50,AE50,AF50,AG50,AH50,AI50),SUM(LARGE((Z50,AA50,AB50,AC50,AD50,AE50,AF50,AG50,AH50,AI50),{1;2;3;4;5;6;7;8;9}))))</f>
        <v>4</v>
      </c>
      <c r="S50" s="111" t="str">
        <f>INDEX(ETAPP!B$1:B$32,MATCH(COUNTIF(BI50:BR50,1),ETAPP!A$1:A$32,0))&amp;INDEX(ETAPP!B$1:B$32,MATCH(COUNTIF(BI50:BR50,2),ETAPP!A$1:A$32,0))&amp;INDEX(ETAPP!B$1:B$32,MATCH(COUNTIF(BI50:BR50,3),ETAPP!A$1:A$32,0))&amp;INDEX(ETAPP!B$1:B$32,MATCH(COUNTIF(BI50:BR50,4),ETAPP!A$1:A$32,0))&amp;INDEX(ETAPP!B$1:B$32,MATCH(COUNTIF(BI50:BR50,5),ETAPP!A$1:A$32,0))&amp;INDEX(ETAPP!B$1:B$32,MATCH(COUNTIF(BI50:BR50,6),ETAPP!A$1:A$32,0))&amp;INDEX(ETAPP!B$1:B$32,MATCH(COUNTIF(BI50:BR50,7),ETAPP!A$1:A$32,0))&amp;INDEX(ETAPP!B$1:B$32,MATCH(COUNTIF(BI50:BR50,8),ETAPP!A$1:A$32,0))&amp;INDEX(ETAPP!B$1:B$32,MATCH(COUNTIF(BI50:BR50,9),ETAPP!A$1:A$32,0))&amp;INDEX(ETAPP!B$1:B$32,MATCH(COUNTIF(BI50:BR50,10),ETAPP!A$1:A$32,0))&amp;INDEX(ETAPP!B$1:B$32,MATCH(COUNTIF(BI50:BR50,11),ETAPP!A$1:A$32,0))&amp;INDEX(ETAPP!B$1:B$32,MATCH(COUNTIF(BI50:BR50,12),ETAPP!A$1:A$32,0))&amp;INDEX(ETAPP!B$1:B$32,MATCH(COUNTIF(BI50:BR50,13),ETAPP!A$1:A$32,0))&amp;INDEX(ETAPP!B$1:B$32,MATCH(COUNTIF(BI50:BR50,14),ETAPP!A$1:A$32,0))&amp;INDEX(ETAPP!B$1:B$32,MATCH(COUNTIF(BI50:BR50,15),ETAPP!A$1:A$32,0))&amp;INDEX(ETAPP!B$1:B$32,MATCH(COUNTIF(BI50:BR50,16),ETAPP!A$1:A$32,0))&amp;INDEX(ETAPP!B$1:B$32,MATCH(COUNTIF(BI50:BR50,17),ETAPP!A$1:A$32,0))&amp;INDEX(ETAPP!B$1:B$32,MATCH(COUNTIF(BI50:BR50,18),ETAPP!A$1:A$32,0))&amp;INDEX(ETAPP!B$1:B$32,MATCH(COUNTIF(BI50:BR50,19),ETAPP!A$1:A$32,0))&amp;INDEX(ETAPP!B$1:B$32,MATCH(COUNTIF(BI50:BR50,20),ETAPP!A$1:A$32,0))&amp;INDEX(ETAPP!B$1:B$32,MATCH(COUNTIF(BI50:BR50,21),ETAPP!A$1:A$32,0))</f>
        <v>000000000000000000000</v>
      </c>
      <c r="T50" s="111" t="str">
        <f t="shared" si="12"/>
        <v>004,0-000000000000000000000</v>
      </c>
      <c r="U50" s="111">
        <f t="shared" si="13"/>
        <v>45</v>
      </c>
      <c r="V50" s="111">
        <f t="shared" si="14"/>
        <v>37</v>
      </c>
      <c r="W50" s="111" t="str">
        <f t="shared" si="15"/>
        <v>004,0-000000000000000000000-037</v>
      </c>
      <c r="X50" s="111">
        <f t="shared" si="16"/>
        <v>44</v>
      </c>
      <c r="Y50" s="112">
        <f t="shared" si="17"/>
        <v>2</v>
      </c>
      <c r="Z50" s="113" t="str">
        <f>IFERROR(INDEX('V1'!C$300:C$400,MATCH("*"&amp;L50&amp;"*",'V1'!B$300:B$400,0)),"  ")</f>
        <v xml:space="preserve">  </v>
      </c>
      <c r="AA50" s="113" t="str">
        <f>IFERROR(INDEX('V2'!C$300:C$389,MATCH("*"&amp;L50&amp;"*",'V2'!B$300:B$389,0)),"  ")</f>
        <v xml:space="preserve">  </v>
      </c>
      <c r="AB50" s="113" t="str">
        <f>IFERROR(INDEX('V3'!C$300:C$399,MATCH("*"&amp;L50&amp;"*",'V3'!B$300:B$399,0)),"  ")</f>
        <v xml:space="preserve">  </v>
      </c>
      <c r="AC50" s="113" t="str">
        <f>IFERROR(INDEX('V4'!C$300:C$400,MATCH("*"&amp;L50&amp;"*",'V4'!B$300:B$400,0)),"  ")</f>
        <v xml:space="preserve">  </v>
      </c>
      <c r="AD50" s="113">
        <f>IFERROR(INDEX('V5'!C$300:C$400,MATCH("*"&amp;L50&amp;"*",'V5'!B$300:B$400,0)),"  ")</f>
        <v>4</v>
      </c>
      <c r="AE50" s="113" t="str">
        <f>IFERROR(INDEX('V6'!C$300:C$400,MATCH("*"&amp;L50&amp;"*",'V6'!B$300:B$400,0)),"  ")</f>
        <v xml:space="preserve">  </v>
      </c>
      <c r="AF50" s="113" t="str">
        <f>IFERROR(INDEX('V7'!C$300:C$400,MATCH("*"&amp;L50&amp;"*",'V7'!B$300:B$400,0)),"  ")</f>
        <v xml:space="preserve">  </v>
      </c>
      <c r="AG50" s="113" t="str">
        <f>IFERROR(INDEX('V8'!C$300:C$400,MATCH("*"&amp;L50&amp;"*",'V8'!B$300:B$400,0)),"  ")</f>
        <v xml:space="preserve">  </v>
      </c>
      <c r="AH50" s="113" t="str">
        <f>IFERROR(INDEX('V9'!C$300:C$400,MATCH("*"&amp;L50&amp;"*",'V9'!B$300:B$400,0)),"  ")</f>
        <v xml:space="preserve">  </v>
      </c>
      <c r="AI50" s="113" t="str">
        <f>IFERROR(INDEX('V10'!C$300:C$400,MATCH("*"&amp;L50&amp;"*",'V10'!B$300:B$400,0)),"  ")</f>
        <v xml:space="preserve">  </v>
      </c>
      <c r="AJ50" s="114" t="str">
        <f t="shared" si="18"/>
        <v/>
      </c>
      <c r="AK50" s="346">
        <f t="shared" si="19"/>
        <v>4</v>
      </c>
      <c r="AL50" s="115">
        <f t="shared" si="20"/>
        <v>44</v>
      </c>
      <c r="AM50" s="116" t="str">
        <f>IFERROR(INDEX(#REF!,MATCH("*"&amp;L50&amp;"*",#REF!,0)),"  ")</f>
        <v xml:space="preserve">  </v>
      </c>
      <c r="AN50" s="117">
        <f t="shared" si="21"/>
        <v>1</v>
      </c>
      <c r="AO50" s="118">
        <f t="shared" si="22"/>
        <v>0</v>
      </c>
      <c r="AP50" s="118">
        <f t="shared" si="23"/>
        <v>0</v>
      </c>
      <c r="AQ50" s="48"/>
      <c r="AR50" s="1"/>
      <c r="AS50" s="1"/>
      <c r="AT50" s="119">
        <f t="shared" si="24"/>
        <v>1E-4</v>
      </c>
      <c r="AU50" s="120">
        <f t="shared" si="25"/>
        <v>1E-4</v>
      </c>
      <c r="AV50" s="120">
        <f t="shared" si="26"/>
        <v>2.0000000000000001E-4</v>
      </c>
      <c r="AW50" s="120">
        <f t="shared" si="27"/>
        <v>2.9999999999999997E-4</v>
      </c>
      <c r="AX50" s="120">
        <f t="shared" si="28"/>
        <v>4.0000000000000002E-4</v>
      </c>
      <c r="AY50" s="120">
        <f t="shared" si="29"/>
        <v>4.0004999999999997</v>
      </c>
      <c r="AZ50" s="120">
        <f t="shared" si="30"/>
        <v>5.9999999999999995E-4</v>
      </c>
      <c r="BA50" s="120">
        <f t="shared" si="31"/>
        <v>6.9999999999999999E-4</v>
      </c>
      <c r="BB50" s="120">
        <f t="shared" si="32"/>
        <v>8.0000000000000004E-4</v>
      </c>
      <c r="BC50" s="120">
        <f t="shared" si="33"/>
        <v>8.9999999999999998E-4</v>
      </c>
      <c r="BD50" s="120">
        <f t="shared" si="34"/>
        <v>1E-3</v>
      </c>
      <c r="BI50" s="1" t="e">
        <f t="shared" si="35"/>
        <v>#VALUE!</v>
      </c>
      <c r="BJ50" s="1" t="e">
        <f t="shared" si="36"/>
        <v>#VALUE!</v>
      </c>
      <c r="BK50" s="1" t="e">
        <f t="shared" si="37"/>
        <v>#VALUE!</v>
      </c>
      <c r="BL50" s="1" t="e">
        <f t="shared" si="38"/>
        <v>#VALUE!</v>
      </c>
      <c r="BM50" s="1">
        <f t="shared" si="39"/>
        <v>9.5</v>
      </c>
      <c r="BN50" s="1" t="e">
        <f t="shared" si="40"/>
        <v>#VALUE!</v>
      </c>
      <c r="BO50" s="1" t="e">
        <f t="shared" si="41"/>
        <v>#VALUE!</v>
      </c>
      <c r="BP50" s="1" t="e">
        <f t="shared" si="42"/>
        <v>#VALUE!</v>
      </c>
      <c r="BQ50" s="1" t="e">
        <f t="shared" si="43"/>
        <v>#VALUE!</v>
      </c>
      <c r="BR50" s="1" t="e">
        <f t="shared" si="44"/>
        <v>#VALUE!</v>
      </c>
    </row>
    <row r="51" spans="1:70" ht="12.75" customHeight="1" x14ac:dyDescent="0.2">
      <c r="A51" s="719">
        <f t="shared" si="1"/>
        <v>35</v>
      </c>
      <c r="B51" s="99">
        <f t="shared" si="2"/>
        <v>45</v>
      </c>
      <c r="C51" s="354">
        <f t="shared" si="3"/>
        <v>17</v>
      </c>
      <c r="D51" s="316">
        <f t="shared" si="4"/>
        <v>45</v>
      </c>
      <c r="E51" s="100" t="str">
        <f t="shared" si="5"/>
        <v/>
      </c>
      <c r="F51" s="99">
        <f t="shared" si="6"/>
        <v>-955</v>
      </c>
      <c r="G51" s="101">
        <f t="shared" si="7"/>
        <v>10</v>
      </c>
      <c r="H51" s="99">
        <f t="shared" si="8"/>
        <v>45</v>
      </c>
      <c r="I51" s="102" t="str">
        <f t="shared" si="9"/>
        <v/>
      </c>
      <c r="J51" s="103">
        <f t="shared" si="10"/>
        <v>-955</v>
      </c>
      <c r="K51" s="70">
        <f t="shared" si="11"/>
        <v>44</v>
      </c>
      <c r="L51" s="121" t="s">
        <v>123</v>
      </c>
      <c r="M51" s="105" t="s">
        <v>104</v>
      </c>
      <c r="N51" s="106" t="str">
        <f>IF(M51="","m","")</f>
        <v/>
      </c>
      <c r="O51" s="107"/>
      <c r="P51" s="108" t="s">
        <v>233</v>
      </c>
      <c r="Q51" s="109" t="s">
        <v>86</v>
      </c>
      <c r="R51" s="110">
        <f>(IF(COUNT(Z51,AA51,AB51,AC51,AD51,AE51,AF51,AG51,AH51,AI51)&lt;10,SUM(Z51,AA51,AB51,AC51,AD51,AE51,AF51,AG51,AH51,AI51),SUM(LARGE((Z51,AA51,AB51,AC51,AD51,AE51,AF51,AG51,AH51,AI51),{1;2;3;4;5;6;7;8;9}))))</f>
        <v>4</v>
      </c>
      <c r="S51" s="111" t="str">
        <f>INDEX(ETAPP!B$1:B$32,MATCH(COUNTIF(BI51:BR51,1),ETAPP!A$1:A$32,0))&amp;INDEX(ETAPP!B$1:B$32,MATCH(COUNTIF(BI51:BR51,2),ETAPP!A$1:A$32,0))&amp;INDEX(ETAPP!B$1:B$32,MATCH(COUNTIF(BI51:BR51,3),ETAPP!A$1:A$32,0))&amp;INDEX(ETAPP!B$1:B$32,MATCH(COUNTIF(BI51:BR51,4),ETAPP!A$1:A$32,0))&amp;INDEX(ETAPP!B$1:B$32,MATCH(COUNTIF(BI51:BR51,5),ETAPP!A$1:A$32,0))&amp;INDEX(ETAPP!B$1:B$32,MATCH(COUNTIF(BI51:BR51,6),ETAPP!A$1:A$32,0))&amp;INDEX(ETAPP!B$1:B$32,MATCH(COUNTIF(BI51:BR51,7),ETAPP!A$1:A$32,0))&amp;INDEX(ETAPP!B$1:B$32,MATCH(COUNTIF(BI51:BR51,8),ETAPP!A$1:A$32,0))&amp;INDEX(ETAPP!B$1:B$32,MATCH(COUNTIF(BI51:BR51,9),ETAPP!A$1:A$32,0))&amp;INDEX(ETAPP!B$1:B$32,MATCH(COUNTIF(BI51:BR51,10),ETAPP!A$1:A$32,0))&amp;INDEX(ETAPP!B$1:B$32,MATCH(COUNTIF(BI51:BR51,11),ETAPP!A$1:A$32,0))&amp;INDEX(ETAPP!B$1:B$32,MATCH(COUNTIF(BI51:BR51,12),ETAPP!A$1:A$32,0))&amp;INDEX(ETAPP!B$1:B$32,MATCH(COUNTIF(BI51:BR51,13),ETAPP!A$1:A$32,0))&amp;INDEX(ETAPP!B$1:B$32,MATCH(COUNTIF(BI51:BR51,14),ETAPP!A$1:A$32,0))&amp;INDEX(ETAPP!B$1:B$32,MATCH(COUNTIF(BI51:BR51,15),ETAPP!A$1:A$32,0))&amp;INDEX(ETAPP!B$1:B$32,MATCH(COUNTIF(BI51:BR51,16),ETAPP!A$1:A$32,0))&amp;INDEX(ETAPP!B$1:B$32,MATCH(COUNTIF(BI51:BR51,17),ETAPP!A$1:A$32,0))&amp;INDEX(ETAPP!B$1:B$32,MATCH(COUNTIF(BI51:BR51,18),ETAPP!A$1:A$32,0))&amp;INDEX(ETAPP!B$1:B$32,MATCH(COUNTIF(BI51:BR51,19),ETAPP!A$1:A$32,0))&amp;INDEX(ETAPP!B$1:B$32,MATCH(COUNTIF(BI51:BR51,20),ETAPP!A$1:A$32,0))&amp;INDEX(ETAPP!B$1:B$32,MATCH(COUNTIF(BI51:BR51,21),ETAPP!A$1:A$32,0))</f>
        <v>000000000000000000000</v>
      </c>
      <c r="T51" s="111" t="str">
        <f t="shared" si="12"/>
        <v>004,0-000000000000000000000</v>
      </c>
      <c r="U51" s="111">
        <f t="shared" si="13"/>
        <v>45</v>
      </c>
      <c r="V51" s="111">
        <f t="shared" si="14"/>
        <v>21</v>
      </c>
      <c r="W51" s="111" t="str">
        <f t="shared" si="15"/>
        <v>004,0-000000000000000000000-021</v>
      </c>
      <c r="X51" s="111">
        <f t="shared" si="16"/>
        <v>45</v>
      </c>
      <c r="Y51" s="112">
        <f t="shared" si="17"/>
        <v>1</v>
      </c>
      <c r="Z51" s="113" t="str">
        <f>IFERROR(INDEX('V1'!C$300:C$400,MATCH("*"&amp;L51&amp;"*",'V1'!B$300:B$400,0)),"  ")</f>
        <v xml:space="preserve">  </v>
      </c>
      <c r="AA51" s="113" t="str">
        <f>IFERROR(INDEX('V2'!C$300:C$389,MATCH("*"&amp;L51&amp;"*",'V2'!B$300:B$389,0)),"  ")</f>
        <v xml:space="preserve">  </v>
      </c>
      <c r="AB51" s="113" t="str">
        <f>IFERROR(INDEX('V3'!C$300:C$399,MATCH("*"&amp;L51&amp;"*",'V3'!B$300:B$399,0)),"  ")</f>
        <v xml:space="preserve">  </v>
      </c>
      <c r="AC51" s="113" t="str">
        <f>IFERROR(INDEX('V4'!C$300:C$400,MATCH("*"&amp;L51&amp;"*",'V4'!B$300:B$400,0)),"  ")</f>
        <v xml:space="preserve">  </v>
      </c>
      <c r="AD51" s="113">
        <f>IFERROR(INDEX('V5'!C$300:C$400,MATCH("*"&amp;L51&amp;"*",'V5'!B$300:B$400,0)),"  ")</f>
        <v>4</v>
      </c>
      <c r="AE51" s="113" t="str">
        <f>IFERROR(INDEX('V6'!C$300:C$400,MATCH("*"&amp;L51&amp;"*",'V6'!B$300:B$400,0)),"  ")</f>
        <v xml:space="preserve">  </v>
      </c>
      <c r="AF51" s="113" t="str">
        <f>IFERROR(INDEX('V7'!C$300:C$400,MATCH("*"&amp;L51&amp;"*",'V7'!B$300:B$400,0)),"  ")</f>
        <v xml:space="preserve">  </v>
      </c>
      <c r="AG51" s="113" t="str">
        <f>IFERROR(INDEX('V8'!C$300:C$400,MATCH("*"&amp;L51&amp;"*",'V8'!B$300:B$400,0)),"  ")</f>
        <v xml:space="preserve">  </v>
      </c>
      <c r="AH51" s="113" t="str">
        <f>IFERROR(INDEX('V9'!C$300:C$400,MATCH("*"&amp;L51&amp;"*",'V9'!B$300:B$400,0)),"  ")</f>
        <v xml:space="preserve">  </v>
      </c>
      <c r="AI51" s="113" t="str">
        <f>IFERROR(INDEX('V10'!C$300:C$400,MATCH("*"&amp;L51&amp;"*",'V10'!B$300:B$400,0)),"  ")</f>
        <v xml:space="preserve">  </v>
      </c>
      <c r="AJ51" s="114" t="str">
        <f t="shared" si="18"/>
        <v/>
      </c>
      <c r="AK51" s="346">
        <f t="shared" si="19"/>
        <v>4</v>
      </c>
      <c r="AL51" s="115">
        <f t="shared" si="20"/>
        <v>44</v>
      </c>
      <c r="AM51" s="116" t="str">
        <f>IFERROR(INDEX(#REF!,MATCH("*"&amp;L51&amp;"*",#REF!,0)),"  ")</f>
        <v xml:space="preserve">  </v>
      </c>
      <c r="AN51" s="117">
        <f t="shared" si="21"/>
        <v>1</v>
      </c>
      <c r="AO51" s="118">
        <f t="shared" si="22"/>
        <v>0</v>
      </c>
      <c r="AP51" s="118">
        <f t="shared" si="23"/>
        <v>0</v>
      </c>
      <c r="AQ51" s="48"/>
      <c r="AR51" s="1"/>
      <c r="AS51" s="1"/>
      <c r="AT51" s="119">
        <f t="shared" si="24"/>
        <v>1E-4</v>
      </c>
      <c r="AU51" s="120">
        <f t="shared" si="25"/>
        <v>1E-4</v>
      </c>
      <c r="AV51" s="120">
        <f t="shared" si="26"/>
        <v>2.0000000000000001E-4</v>
      </c>
      <c r="AW51" s="120">
        <f t="shared" si="27"/>
        <v>2.9999999999999997E-4</v>
      </c>
      <c r="AX51" s="120">
        <f t="shared" si="28"/>
        <v>4.0000000000000002E-4</v>
      </c>
      <c r="AY51" s="120">
        <f t="shared" si="29"/>
        <v>4.0004999999999997</v>
      </c>
      <c r="AZ51" s="120">
        <f t="shared" si="30"/>
        <v>5.9999999999999995E-4</v>
      </c>
      <c r="BA51" s="120">
        <f t="shared" si="31"/>
        <v>6.9999999999999999E-4</v>
      </c>
      <c r="BB51" s="120">
        <f t="shared" si="32"/>
        <v>8.0000000000000004E-4</v>
      </c>
      <c r="BC51" s="120">
        <f t="shared" si="33"/>
        <v>8.9999999999999998E-4</v>
      </c>
      <c r="BD51" s="120">
        <f t="shared" si="34"/>
        <v>1E-3</v>
      </c>
      <c r="BI51" s="1" t="e">
        <f t="shared" si="35"/>
        <v>#VALUE!</v>
      </c>
      <c r="BJ51" s="1" t="e">
        <f t="shared" si="36"/>
        <v>#VALUE!</v>
      </c>
      <c r="BK51" s="1" t="e">
        <f t="shared" si="37"/>
        <v>#VALUE!</v>
      </c>
      <c r="BL51" s="1" t="e">
        <f t="shared" si="38"/>
        <v>#VALUE!</v>
      </c>
      <c r="BM51" s="1">
        <f t="shared" si="39"/>
        <v>9.5</v>
      </c>
      <c r="BN51" s="1" t="e">
        <f t="shared" si="40"/>
        <v>#VALUE!</v>
      </c>
      <c r="BO51" s="1" t="e">
        <f t="shared" si="41"/>
        <v>#VALUE!</v>
      </c>
      <c r="BP51" s="1" t="e">
        <f t="shared" si="42"/>
        <v>#VALUE!</v>
      </c>
      <c r="BQ51" s="1" t="e">
        <f t="shared" si="43"/>
        <v>#VALUE!</v>
      </c>
      <c r="BR51" s="1" t="e">
        <f t="shared" si="44"/>
        <v>#VALUE!</v>
      </c>
    </row>
    <row r="52" spans="1:70" x14ac:dyDescent="0.2">
      <c r="A52" s="139">
        <f>COUNTIF(A7:A51,"&gt;0")</f>
        <v>35</v>
      </c>
      <c r="B52" s="140"/>
      <c r="C52" s="141">
        <f>COUNTIF(C7:C51,"&gt;0")</f>
        <v>17</v>
      </c>
      <c r="D52" s="140"/>
      <c r="E52" s="142">
        <f>COUNTIF(E7:E51,"&gt;0")</f>
        <v>33</v>
      </c>
      <c r="F52" s="140"/>
      <c r="G52" s="143">
        <f>COUNTIF(G7:G51,"&gt;0")</f>
        <v>11</v>
      </c>
      <c r="H52" s="140"/>
      <c r="I52" s="144">
        <f>COUNTIF(I7:I51,"&gt;0")</f>
        <v>3</v>
      </c>
      <c r="J52" s="140"/>
      <c r="K52" s="140">
        <f>COUNT(K7:K51)</f>
        <v>45</v>
      </c>
      <c r="L52" s="145" t="s">
        <v>66</v>
      </c>
      <c r="M52" s="364">
        <f>COUNTIF(M7:M51,"n")</f>
        <v>11</v>
      </c>
      <c r="N52" s="365">
        <f>COUNTIF(N7:N51,"m")</f>
        <v>33</v>
      </c>
      <c r="O52" s="366">
        <f>COUNTIF(O7:O51,"j")</f>
        <v>3</v>
      </c>
      <c r="P52" s="367">
        <f>COUNTIF(P7:P51,"t")</f>
        <v>17</v>
      </c>
      <c r="Q52" s="368">
        <f>COUNTIF(Q7:Q51,"Viru SK")</f>
        <v>35</v>
      </c>
      <c r="R52" s="146"/>
      <c r="S52" s="146"/>
      <c r="T52" s="146"/>
      <c r="U52" s="146"/>
      <c r="V52" s="146"/>
      <c r="W52" s="146"/>
      <c r="X52" s="146"/>
      <c r="Y52" s="146"/>
      <c r="Z52" s="398">
        <f t="shared" ref="Z52:AI52" si="46">COUNTIF(Z7:Z51,"&gt;0")</f>
        <v>16</v>
      </c>
      <c r="AA52" s="147">
        <f t="shared" si="46"/>
        <v>21</v>
      </c>
      <c r="AB52" s="147">
        <f t="shared" si="46"/>
        <v>24</v>
      </c>
      <c r="AC52" s="147">
        <f t="shared" si="46"/>
        <v>21</v>
      </c>
      <c r="AD52" s="147">
        <f t="shared" si="46"/>
        <v>21</v>
      </c>
      <c r="AE52" s="147">
        <f t="shared" si="46"/>
        <v>26</v>
      </c>
      <c r="AF52" s="147">
        <f t="shared" si="46"/>
        <v>18</v>
      </c>
      <c r="AG52" s="147">
        <f t="shared" si="46"/>
        <v>27</v>
      </c>
      <c r="AH52" s="147">
        <f t="shared" si="46"/>
        <v>26</v>
      </c>
      <c r="AI52" s="147">
        <f t="shared" si="46"/>
        <v>21</v>
      </c>
      <c r="AJ52" s="147"/>
      <c r="AK52" s="147"/>
      <c r="AL52" s="147"/>
      <c r="AM52" s="148">
        <f>COUNTIF(AM7:AM51,"&gt;0")</f>
        <v>0</v>
      </c>
      <c r="AN52" s="46"/>
      <c r="AO52" s="149"/>
      <c r="AP52" s="149"/>
      <c r="AQ52" s="48"/>
      <c r="AR52" s="1"/>
      <c r="AS52" s="1"/>
    </row>
    <row r="53" spans="1:70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145" t="s">
        <v>129</v>
      </c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397">
        <f t="shared" ref="Z53:AI53" si="47">IF((Z52/(LEN(Z5)-LEN(SUBSTITUTE(Z5,"*","")))-0.5)&lt;0,"",Z52/(LEN(Z5)-LEN(SUBSTITUTE(Z5,"*","")))-0.5)</f>
        <v>7.5</v>
      </c>
      <c r="AA53" s="150">
        <f t="shared" si="47"/>
        <v>6.5</v>
      </c>
      <c r="AB53" s="150">
        <f t="shared" si="47"/>
        <v>11.5</v>
      </c>
      <c r="AC53" s="150">
        <f t="shared" si="47"/>
        <v>6.5</v>
      </c>
      <c r="AD53" s="150">
        <f t="shared" si="47"/>
        <v>10</v>
      </c>
      <c r="AE53" s="150">
        <f t="shared" si="47"/>
        <v>12.5</v>
      </c>
      <c r="AF53" s="150">
        <f t="shared" si="47"/>
        <v>5.5</v>
      </c>
      <c r="AG53" s="150">
        <f t="shared" si="47"/>
        <v>8.5</v>
      </c>
      <c r="AH53" s="150">
        <f t="shared" si="47"/>
        <v>12.5</v>
      </c>
      <c r="AI53" s="150">
        <f t="shared" si="47"/>
        <v>6.5</v>
      </c>
      <c r="AJ53" s="150"/>
      <c r="AK53" s="150"/>
      <c r="AL53" s="150"/>
      <c r="AM53" s="151" t="str">
        <f>IF((AM52/(LEN(AM5)-LEN(SUBSTITUTE(AM5,"*","")))-0.5)&lt;0,"",AM52/(LEN(AM5)-LEN(SUBSTITUTE(AM5,"*","")))-0.5)</f>
        <v/>
      </c>
      <c r="AN53" s="46"/>
      <c r="AO53" s="46"/>
      <c r="AP53" s="46"/>
      <c r="AQ53" s="48"/>
      <c r="AR53" s="1"/>
      <c r="AS53" s="1"/>
    </row>
    <row r="54" spans="1:70" x14ac:dyDescent="0.2">
      <c r="A54" s="48"/>
      <c r="B54" s="48"/>
      <c r="C54" s="50"/>
      <c r="D54" s="50"/>
      <c r="E54" s="50"/>
      <c r="F54" s="50"/>
      <c r="G54" s="50"/>
      <c r="H54" s="50"/>
      <c r="I54" s="50"/>
      <c r="J54" s="50"/>
      <c r="K54" s="50"/>
      <c r="M54" s="50"/>
      <c r="N54" s="50"/>
      <c r="O54" s="50"/>
      <c r="P54" s="152"/>
      <c r="Q54" s="152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48"/>
      <c r="AO54" s="48"/>
      <c r="AP54" s="48"/>
      <c r="AQ54" s="48"/>
      <c r="AR54" s="1"/>
      <c r="AS54" s="1"/>
    </row>
    <row r="55" spans="1:70" x14ac:dyDescent="0.2">
      <c r="A55" s="48"/>
      <c r="B55" s="48"/>
      <c r="C55" s="50"/>
      <c r="D55" s="50"/>
      <c r="E55" s="50"/>
      <c r="F55" s="50"/>
      <c r="G55" s="50"/>
      <c r="H55" s="50"/>
      <c r="I55" s="50"/>
      <c r="J55" s="50"/>
      <c r="K55" s="50"/>
      <c r="M55" s="50"/>
      <c r="N55" s="50"/>
      <c r="O55" s="50"/>
      <c r="P55" s="152"/>
      <c r="Q55" s="152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48"/>
      <c r="AO55" s="48"/>
      <c r="AP55" s="48"/>
      <c r="AQ55" s="48"/>
      <c r="AR55" s="1"/>
      <c r="AS55" s="1"/>
    </row>
    <row r="56" spans="1:70" x14ac:dyDescent="0.2">
      <c r="A56" s="48"/>
      <c r="B56" s="48"/>
      <c r="C56" s="50"/>
      <c r="D56" s="50"/>
      <c r="E56" s="50"/>
      <c r="F56" s="50"/>
      <c r="G56" s="50"/>
      <c r="H56" s="50"/>
      <c r="I56" s="50"/>
      <c r="J56" s="50"/>
      <c r="K56" s="50"/>
      <c r="L56" s="48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48"/>
      <c r="AO56" s="48"/>
      <c r="AP56" s="48"/>
      <c r="AQ56" s="48"/>
      <c r="AR56" s="1"/>
      <c r="AS56" s="1"/>
    </row>
    <row r="57" spans="1:70" x14ac:dyDescent="0.2">
      <c r="AR57" s="1"/>
      <c r="AS57" s="1"/>
    </row>
    <row r="58" spans="1:70" x14ac:dyDescent="0.2">
      <c r="AR58" s="1"/>
      <c r="AS58" s="1"/>
    </row>
    <row r="59" spans="1:70" x14ac:dyDescent="0.2">
      <c r="AR59" s="1"/>
      <c r="AS59" s="1"/>
    </row>
    <row r="60" spans="1:70" x14ac:dyDescent="0.2">
      <c r="AR60" s="1"/>
      <c r="AS60" s="1"/>
    </row>
    <row r="61" spans="1:70" x14ac:dyDescent="0.2">
      <c r="AR61" s="1"/>
      <c r="AS61" s="1"/>
    </row>
    <row r="62" spans="1:70" x14ac:dyDescent="0.2">
      <c r="AR62" s="1"/>
      <c r="AS62" s="1"/>
    </row>
    <row r="63" spans="1:70" x14ac:dyDescent="0.2">
      <c r="AR63" s="1"/>
      <c r="AS63" s="1"/>
    </row>
    <row r="64" spans="1:70" x14ac:dyDescent="0.2">
      <c r="AR64" s="1"/>
      <c r="AS64" s="1"/>
    </row>
    <row r="65" spans="44:45" x14ac:dyDescent="0.2">
      <c r="AR65" s="1"/>
      <c r="AS65" s="1"/>
    </row>
    <row r="66" spans="44:45" x14ac:dyDescent="0.2">
      <c r="AR66" s="1"/>
      <c r="AS66" s="1"/>
    </row>
    <row r="67" spans="44:45" x14ac:dyDescent="0.2">
      <c r="AR67" s="1"/>
      <c r="AS67" s="1"/>
    </row>
    <row r="68" spans="44:45" x14ac:dyDescent="0.2">
      <c r="AR68" s="1"/>
      <c r="AS68" s="1"/>
    </row>
    <row r="69" spans="44:45" x14ac:dyDescent="0.2">
      <c r="AR69" s="1"/>
      <c r="AS69" s="1"/>
    </row>
    <row r="70" spans="44:45" x14ac:dyDescent="0.2">
      <c r="AR70" s="1"/>
      <c r="AS70" s="1"/>
    </row>
    <row r="71" spans="44:45" x14ac:dyDescent="0.2">
      <c r="AR71" s="1"/>
      <c r="AS71" s="1"/>
    </row>
    <row r="72" spans="44:45" x14ac:dyDescent="0.2">
      <c r="AR72" s="1"/>
      <c r="AS72" s="1"/>
    </row>
    <row r="73" spans="44:45" x14ac:dyDescent="0.2">
      <c r="AR73" s="1"/>
      <c r="AS73" s="1"/>
    </row>
    <row r="74" spans="44:45" x14ac:dyDescent="0.2">
      <c r="AR74" s="1"/>
      <c r="AS74" s="1"/>
    </row>
    <row r="75" spans="44:45" x14ac:dyDescent="0.2">
      <c r="AR75" s="1"/>
      <c r="AS75" s="1"/>
    </row>
    <row r="76" spans="44:45" x14ac:dyDescent="0.2">
      <c r="AR76" s="1"/>
      <c r="AS76" s="1"/>
    </row>
    <row r="77" spans="44:45" x14ac:dyDescent="0.2">
      <c r="AR77" s="1"/>
      <c r="AS77" s="1"/>
    </row>
    <row r="78" spans="44:45" x14ac:dyDescent="0.2">
      <c r="AR78" s="1"/>
      <c r="AS78" s="1"/>
    </row>
    <row r="79" spans="44:45" x14ac:dyDescent="0.2">
      <c r="AR79" s="1"/>
      <c r="AS79" s="1"/>
    </row>
    <row r="80" spans="44:45" x14ac:dyDescent="0.2">
      <c r="AR80" s="1"/>
      <c r="AS80" s="1"/>
    </row>
    <row r="81" spans="44:45" x14ac:dyDescent="0.2">
      <c r="AR81" s="1"/>
      <c r="AS81" s="1"/>
    </row>
    <row r="82" spans="44:45" x14ac:dyDescent="0.2">
      <c r="AR82" s="1"/>
      <c r="AS82" s="1"/>
    </row>
    <row r="83" spans="44:45" x14ac:dyDescent="0.2">
      <c r="AR83" s="1"/>
      <c r="AS83" s="1"/>
    </row>
    <row r="84" spans="44:45" x14ac:dyDescent="0.2">
      <c r="AR84" s="1"/>
      <c r="AS84" s="1"/>
    </row>
    <row r="85" spans="44:45" x14ac:dyDescent="0.2">
      <c r="AR85" s="1"/>
      <c r="AS85" s="1"/>
    </row>
    <row r="86" spans="44:45" x14ac:dyDescent="0.2">
      <c r="AR86" s="1"/>
      <c r="AS86" s="1"/>
    </row>
    <row r="87" spans="44:45" x14ac:dyDescent="0.2">
      <c r="AR87" s="1"/>
      <c r="AS87" s="1"/>
    </row>
    <row r="88" spans="44:45" x14ac:dyDescent="0.2">
      <c r="AR88" s="1"/>
      <c r="AS88" s="1"/>
    </row>
    <row r="89" spans="44:45" x14ac:dyDescent="0.2">
      <c r="AR89" s="1"/>
      <c r="AS89" s="1"/>
    </row>
    <row r="90" spans="44:45" x14ac:dyDescent="0.2">
      <c r="AR90" s="1"/>
      <c r="AS90" s="1"/>
    </row>
    <row r="91" spans="44:45" x14ac:dyDescent="0.2">
      <c r="AR91" s="1"/>
      <c r="AS91" s="1"/>
    </row>
    <row r="92" spans="44:45" x14ac:dyDescent="0.2">
      <c r="AR92" s="1"/>
      <c r="AS92" s="1"/>
    </row>
    <row r="93" spans="44:45" x14ac:dyDescent="0.2">
      <c r="AR93" s="1"/>
      <c r="AS93" s="1"/>
    </row>
    <row r="94" spans="44:45" x14ac:dyDescent="0.2">
      <c r="AR94" s="1"/>
      <c r="AS94" s="1"/>
    </row>
    <row r="95" spans="44:45" x14ac:dyDescent="0.2">
      <c r="AR95" s="1"/>
      <c r="AS95" s="1"/>
    </row>
    <row r="96" spans="44:45" x14ac:dyDescent="0.2">
      <c r="AR96" s="1"/>
      <c r="AS96" s="1"/>
    </row>
    <row r="97" spans="44:45" x14ac:dyDescent="0.2">
      <c r="AR97" s="1"/>
      <c r="AS97" s="1"/>
    </row>
    <row r="98" spans="44:45" x14ac:dyDescent="0.2">
      <c r="AR98" s="1"/>
      <c r="AS98" s="1"/>
    </row>
    <row r="99" spans="44:45" x14ac:dyDescent="0.2">
      <c r="AR99" s="1"/>
      <c r="AS99" s="1"/>
    </row>
    <row r="100" spans="44:45" x14ac:dyDescent="0.2">
      <c r="AR100" s="1"/>
      <c r="AS100" s="1"/>
    </row>
    <row r="101" spans="44:45" x14ac:dyDescent="0.2">
      <c r="AR101" s="1"/>
      <c r="AS101" s="1"/>
    </row>
    <row r="102" spans="44:45" x14ac:dyDescent="0.2">
      <c r="AR102" s="1"/>
      <c r="AS102" s="1"/>
    </row>
    <row r="103" spans="44:45" x14ac:dyDescent="0.2">
      <c r="AR103" s="1"/>
      <c r="AS103" s="1"/>
    </row>
    <row r="104" spans="44:45" x14ac:dyDescent="0.2">
      <c r="AR104" s="1"/>
      <c r="AS104" s="1"/>
    </row>
    <row r="105" spans="44:45" x14ac:dyDescent="0.2">
      <c r="AR105" s="1"/>
      <c r="AS105" s="1"/>
    </row>
    <row r="106" spans="44:45" x14ac:dyDescent="0.2">
      <c r="AR106" s="1"/>
      <c r="AS106" s="1"/>
    </row>
    <row r="107" spans="44:45" x14ac:dyDescent="0.2">
      <c r="AR107" s="1"/>
      <c r="AS107" s="1"/>
    </row>
    <row r="108" spans="44:45" x14ac:dyDescent="0.2">
      <c r="AR108" s="1"/>
      <c r="AS108" s="1"/>
    </row>
    <row r="109" spans="44:45" x14ac:dyDescent="0.2">
      <c r="AR109" s="1"/>
      <c r="AS109" s="1"/>
    </row>
    <row r="110" spans="44:45" x14ac:dyDescent="0.2">
      <c r="AR110" s="1"/>
      <c r="AS110" s="1"/>
    </row>
    <row r="111" spans="44:45" x14ac:dyDescent="0.2">
      <c r="AR111" s="1"/>
      <c r="AS111" s="1"/>
    </row>
    <row r="112" spans="44:45" x14ac:dyDescent="0.2">
      <c r="AR112" s="1"/>
      <c r="AS112" s="1"/>
    </row>
    <row r="113" spans="44:45" x14ac:dyDescent="0.2">
      <c r="AR113" s="1"/>
      <c r="AS113" s="1"/>
    </row>
    <row r="114" spans="44:45" x14ac:dyDescent="0.2">
      <c r="AR114" s="1"/>
      <c r="AS114" s="1"/>
    </row>
    <row r="115" spans="44:45" x14ac:dyDescent="0.2">
      <c r="AR115" s="1"/>
      <c r="AS115" s="1"/>
    </row>
    <row r="116" spans="44:45" x14ac:dyDescent="0.2">
      <c r="AR116" s="1"/>
      <c r="AS116" s="1"/>
    </row>
    <row r="117" spans="44:45" x14ac:dyDescent="0.2">
      <c r="AR117" s="1"/>
      <c r="AS117" s="1"/>
    </row>
    <row r="118" spans="44:45" x14ac:dyDescent="0.2">
      <c r="AR118" s="1"/>
      <c r="AS118" s="1"/>
    </row>
    <row r="119" spans="44:45" x14ac:dyDescent="0.2">
      <c r="AR119" s="1"/>
      <c r="AS119" s="1"/>
    </row>
  </sheetData>
  <sortState ref="A7:BS51">
    <sortCondition descending="1" ref="Y7:Y51"/>
  </sortState>
  <mergeCells count="3">
    <mergeCell ref="AN4:AN6"/>
    <mergeCell ref="AO4:AO6"/>
    <mergeCell ref="AP4:AP6"/>
  </mergeCells>
  <conditionalFormatting sqref="AM7:AM51">
    <cfRule type="expression" dxfId="1213" priority="34">
      <formula>AM7=3</formula>
    </cfRule>
    <cfRule type="expression" dxfId="1212" priority="35">
      <formula>AM7=2</formula>
    </cfRule>
    <cfRule type="expression" dxfId="1211" priority="36">
      <formula>AM7=1</formula>
    </cfRule>
  </conditionalFormatting>
  <conditionalFormatting sqref="Z52:AI52">
    <cfRule type="top10" dxfId="1210" priority="1171" stopIfTrue="1" rank="1"/>
  </conditionalFormatting>
  <conditionalFormatting sqref="Z53:AI53">
    <cfRule type="top10" dxfId="1209" priority="1176" rank="1"/>
  </conditionalFormatting>
  <conditionalFormatting sqref="AO7:AO51">
    <cfRule type="top10" dxfId="1208" priority="1229" stopIfTrue="1" rank="1"/>
  </conditionalFormatting>
  <conditionalFormatting sqref="AP7:AP51">
    <cfRule type="top10" dxfId="1207" priority="1230" stopIfTrue="1" rank="1"/>
  </conditionalFormatting>
  <conditionalFormatting sqref="R7:R51">
    <cfRule type="duplicateValues" dxfId="1206" priority="1231"/>
  </conditionalFormatting>
  <conditionalFormatting sqref="K7:K51">
    <cfRule type="duplicateValues" dxfId="1205" priority="1232"/>
  </conditionalFormatting>
  <conditionalFormatting sqref="AN7:AN51">
    <cfRule type="top10" dxfId="1204" priority="1233" stopIfTrue="1" rank="1"/>
  </conditionalFormatting>
  <conditionalFormatting sqref="AL7:AL51">
    <cfRule type="expression" dxfId="1203" priority="1234">
      <formula>0=COUNT(#REF!)</formula>
    </cfRule>
    <cfRule type="duplicateValues" dxfId="1202" priority="1235"/>
    <cfRule type="notContainsText" dxfId="1201" priority="1236" operator="notContains" text="edasi">
      <formula>ISERROR(SEARCH("edasi",AL7))</formula>
    </cfRule>
  </conditionalFormatting>
  <conditionalFormatting sqref="AB7:AB51">
    <cfRule type="top10" dxfId="1200" priority="1237" rank="1"/>
    <cfRule type="top10" dxfId="1199" priority="1238" rank="3"/>
    <cfRule type="top10" dxfId="1198" priority="1239" rank="5"/>
  </conditionalFormatting>
  <conditionalFormatting sqref="AC7:AC51">
    <cfRule type="top10" dxfId="1197" priority="1240" rank="1"/>
    <cfRule type="top10" dxfId="1196" priority="1241" rank="4"/>
    <cfRule type="top10" dxfId="1195" priority="1242" rank="7"/>
  </conditionalFormatting>
  <conditionalFormatting sqref="AA7:AA51">
    <cfRule type="top10" dxfId="1194" priority="1243" rank="1"/>
    <cfRule type="top10" dxfId="1193" priority="1244" rank="4"/>
    <cfRule type="top10" dxfId="1192" priority="1245" rank="7"/>
  </conditionalFormatting>
  <conditionalFormatting sqref="L7:L51">
    <cfRule type="expression" dxfId="1191" priority="1246">
      <formula>AND(K7=SMALL(K$7:K$51,3),COUNT($AI$7:$AI$51)&gt;0)</formula>
    </cfRule>
    <cfRule type="expression" dxfId="1190" priority="1247">
      <formula>AND(K7=SMALL(K$7:K$51,2),COUNT($AI$7:$AI$51)&gt;0)</formula>
    </cfRule>
    <cfRule type="expression" dxfId="1189" priority="1248">
      <formula>AND(K7=SMALL(K$7:K$51,1),COUNT($AI$7:$AI$51)&gt;0)</formula>
    </cfRule>
    <cfRule type="expression" dxfId="1188" priority="1249">
      <formula>M7="n"</formula>
    </cfRule>
    <cfRule type="expression" dxfId="1187" priority="1250">
      <formula>O7="j"</formula>
    </cfRule>
    <cfRule type="duplicateValues" dxfId="1186" priority="1251" stopIfTrue="1"/>
  </conditionalFormatting>
  <conditionalFormatting sqref="A7:A51 C7:C51 G7:G51 I7:I51">
    <cfRule type="expression" dxfId="1185" priority="1252">
      <formula>AND(A7=SMALL(A$7:A$51,1),COUNT($AI$7:$AI$51)&gt;0)</formula>
    </cfRule>
  </conditionalFormatting>
  <conditionalFormatting sqref="Z7:AI51">
    <cfRule type="expression" dxfId="1184" priority="1256">
      <formula>IF(COUNT(Z$7:Z$51)=0,TRUE)</formula>
    </cfRule>
    <cfRule type="expression" dxfId="1183" priority="1257">
      <formula>MID(Z$6,FIND("V",Z$6)+1,256)/10000+IF(Z7="  ",FALSE,Z7)&lt;=$AT7</formula>
    </cfRule>
  </conditionalFormatting>
  <conditionalFormatting sqref="AD7:AD51">
    <cfRule type="top10" dxfId="1182" priority="1258" rank="1"/>
    <cfRule type="top10" dxfId="1181" priority="1259" rank="3"/>
    <cfRule type="top10" dxfId="1180" priority="1260" rank="5"/>
  </conditionalFormatting>
  <conditionalFormatting sqref="AE7:AE51">
    <cfRule type="top10" dxfId="1179" priority="1261" rank="1"/>
    <cfRule type="top10" dxfId="1178" priority="1262" rank="3"/>
    <cfRule type="top10" dxfId="1177" priority="1263" rank="5"/>
  </conditionalFormatting>
  <conditionalFormatting sqref="Z7:Z51">
    <cfRule type="top10" dxfId="1176" priority="1264" rank="1"/>
    <cfRule type="top10" dxfId="1175" priority="1265" rank="3"/>
    <cfRule type="top10" dxfId="1174" priority="1266" rank="5"/>
  </conditionalFormatting>
  <conditionalFormatting sqref="AF7:AF51">
    <cfRule type="top10" dxfId="1173" priority="1267" rank="1"/>
    <cfRule type="top10" dxfId="1172" priority="1268" rank="4"/>
    <cfRule type="top10" dxfId="1171" priority="1269" rank="7"/>
  </conditionalFormatting>
  <conditionalFormatting sqref="AG7:AG51">
    <cfRule type="top10" dxfId="1170" priority="1270" rank="1"/>
    <cfRule type="top10" dxfId="1169" priority="1271" rank="4"/>
    <cfRule type="top10" dxfId="1168" priority="1272" rank="7"/>
  </conditionalFormatting>
  <conditionalFormatting sqref="AH7:AH51">
    <cfRule type="top10" dxfId="1167" priority="1273" rank="1"/>
    <cfRule type="top10" dxfId="1166" priority="1274" rank="3"/>
    <cfRule type="top10" dxfId="1165" priority="1275" rank="5"/>
  </conditionalFormatting>
  <conditionalFormatting sqref="AI7:AI51">
    <cfRule type="top10" dxfId="1164" priority="1276" rank="1"/>
    <cfRule type="top10" dxfId="1163" priority="1277" rank="4"/>
    <cfRule type="top10" dxfId="1162" priority="1278" rank="7"/>
  </conditionalFormatting>
  <pageMargins left="0.39370078740157483" right="0.27559055118110237" top="0.59055118110236227" bottom="0.39370078740157483" header="0.39370078740157483" footer="0"/>
  <pageSetup paperSize="9" scale="99" fitToHeight="0" orientation="portrait" verticalDpi="1200" r:id="rId1"/>
  <headerFooter>
    <oddHeader>&amp;R&amp;9&amp;P. leht &amp;N&amp; -st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07"/>
  <sheetViews>
    <sheetView showGridLines="0" showRowColHeaders="0" workbookViewId="0">
      <pane ySplit="1" topLeftCell="A2" activePane="bottomLeft" state="frozen"/>
      <selection pane="bottomLeft" activeCell="A5" sqref="A5"/>
    </sheetView>
  </sheetViews>
  <sheetFormatPr defaultRowHeight="12.75" x14ac:dyDescent="0.2"/>
  <cols>
    <col min="1" max="1" width="3.28515625" style="1" customWidth="1"/>
    <col min="2" max="2" width="34.42578125" style="1" customWidth="1"/>
    <col min="3" max="3" width="4.7109375" style="1" customWidth="1"/>
    <col min="4" max="4" width="1.140625" style="1" customWidth="1"/>
    <col min="5" max="5" width="2.7109375" style="1" customWidth="1"/>
    <col min="6" max="6" width="9.140625" style="1"/>
    <col min="7" max="7" width="2.7109375" style="1" customWidth="1"/>
    <col min="8" max="8" width="1.140625" style="1" customWidth="1"/>
    <col min="9" max="9" width="2.7109375" style="1" customWidth="1"/>
    <col min="10" max="10" width="9.140625" style="1"/>
    <col min="11" max="11" width="2.7109375" style="1" customWidth="1"/>
    <col min="12" max="12" width="1.140625" style="1" customWidth="1"/>
    <col min="13" max="13" width="2.7109375" style="1" customWidth="1"/>
    <col min="14" max="14" width="9.140625" style="1"/>
    <col min="15" max="15" width="2.7109375" style="1" customWidth="1"/>
    <col min="16" max="16" width="1.140625" style="1" customWidth="1"/>
    <col min="17" max="17" width="2.7109375" style="1" customWidth="1"/>
    <col min="18" max="18" width="9.140625" style="1"/>
    <col min="19" max="19" width="2.7109375" style="1" customWidth="1"/>
    <col min="20" max="20" width="1.140625" style="1" customWidth="1"/>
    <col min="21" max="21" width="2.7109375" style="1" customWidth="1"/>
    <col min="22" max="22" width="9.140625" style="1"/>
    <col min="23" max="23" width="5.7109375" style="1" bestFit="1" customWidth="1"/>
    <col min="24" max="24" width="5.5703125" style="1" hidden="1" customWidth="1"/>
    <col min="25" max="25" width="2.7109375" style="1" customWidth="1"/>
    <col min="26" max="26" width="1.140625" style="1" customWidth="1"/>
    <col min="27" max="27" width="2.7109375" style="1" customWidth="1"/>
    <col min="28" max="28" width="4.7109375" style="1" customWidth="1"/>
    <col min="29" max="29" width="9.140625" style="1"/>
    <col min="30" max="31" width="9.140625" style="1" hidden="1" customWidth="1"/>
    <col min="32" max="32" width="18.42578125" style="1" hidden="1" customWidth="1"/>
    <col min="33" max="33" width="9.140625" style="1" hidden="1" customWidth="1"/>
    <col min="34" max="34" width="16.5703125" style="1" hidden="1" customWidth="1"/>
    <col min="35" max="35" width="9.140625" style="1" hidden="1" customWidth="1"/>
    <col min="36" max="36" width="20.85546875" style="1" hidden="1" customWidth="1"/>
    <col min="37" max="37" width="9.140625" style="1" hidden="1" customWidth="1"/>
    <col min="38" max="38" width="13.85546875" style="1" hidden="1" customWidth="1"/>
    <col min="39" max="39" width="9.140625" style="1" hidden="1" customWidth="1"/>
    <col min="40" max="40" width="17.28515625" style="1" hidden="1" customWidth="1"/>
    <col min="41" max="41" width="9.140625" style="1" hidden="1" customWidth="1"/>
    <col min="42" max="42" width="13.85546875" style="1" hidden="1" customWidth="1"/>
    <col min="43" max="16384" width="9.140625" style="1"/>
  </cols>
  <sheetData>
    <row r="1" spans="1:42" x14ac:dyDescent="0.2">
      <c r="A1" s="206" t="str">
        <f>UPPER((Kalend!E10)&amp;" - "&amp;(Kalend!C10))&amp;" - "&amp;LOWER(Kalend!D10)&amp;" - "&amp;(Kalend!A10)&amp;" kell "&amp;(Kalend!B10)&amp;" - "&amp;(Kalend!F10)</f>
        <v>V1 - VOKA IV SISE-KV 1. ETAPP - duo - P, 12.12.2021 kell 11:00 - Voka petangihall</v>
      </c>
      <c r="O1" s="157"/>
      <c r="P1" s="157"/>
      <c r="Q1" s="187"/>
      <c r="R1" s="187"/>
      <c r="S1" s="187"/>
      <c r="T1" s="40"/>
      <c r="U1" s="40"/>
      <c r="V1" s="40"/>
      <c r="W1" s="157"/>
      <c r="X1" s="303"/>
      <c r="Y1" s="157"/>
      <c r="Z1" s="157"/>
      <c r="AD1" s="44" t="s">
        <v>71</v>
      </c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303"/>
      <c r="AP1" s="303"/>
    </row>
    <row r="2" spans="1:42" x14ac:dyDescent="0.2">
      <c r="F2" s="157"/>
      <c r="L2" s="214"/>
      <c r="M2" s="214"/>
      <c r="N2" s="214"/>
      <c r="O2" s="157"/>
      <c r="P2" s="157"/>
      <c r="Q2" s="157"/>
      <c r="R2" s="157"/>
      <c r="S2" s="157"/>
      <c r="T2" s="214"/>
      <c r="U2" s="214"/>
      <c r="V2" s="215" t="s">
        <v>195</v>
      </c>
      <c r="W2" s="216">
        <v>1</v>
      </c>
      <c r="Y2" s="217" t="s">
        <v>196</v>
      </c>
      <c r="Z2" s="157"/>
      <c r="AD2" s="157"/>
      <c r="AE2" s="157"/>
      <c r="AF2" s="157"/>
      <c r="AG2" s="157"/>
      <c r="AH2" s="157"/>
      <c r="AI2" s="157"/>
      <c r="AJ2" s="217"/>
      <c r="AK2" s="157"/>
      <c r="AL2" s="157"/>
      <c r="AM2" s="157"/>
      <c r="AN2" s="157"/>
    </row>
    <row r="3" spans="1:42" x14ac:dyDescent="0.2">
      <c r="F3" s="157"/>
      <c r="L3" s="214"/>
      <c r="M3" s="214"/>
      <c r="N3" s="214"/>
      <c r="O3" s="157"/>
      <c r="P3" s="157"/>
      <c r="Q3" s="157"/>
      <c r="R3" s="157"/>
      <c r="S3" s="157"/>
      <c r="T3" s="214"/>
      <c r="U3" s="214"/>
      <c r="V3" s="218" t="s">
        <v>197</v>
      </c>
      <c r="W3" s="216">
        <v>0.5</v>
      </c>
      <c r="Y3" s="217" t="s">
        <v>196</v>
      </c>
      <c r="Z3" s="157"/>
      <c r="AE3" s="157"/>
      <c r="AG3" s="157"/>
      <c r="AH3" s="157"/>
      <c r="AI3" s="157"/>
      <c r="AJ3" s="157"/>
      <c r="AK3" s="157"/>
      <c r="AL3" s="157"/>
      <c r="AM3" s="157"/>
      <c r="AN3" s="157"/>
    </row>
    <row r="4" spans="1:42" x14ac:dyDescent="0.2">
      <c r="F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219" t="s">
        <v>198</v>
      </c>
      <c r="W4" s="216">
        <v>0</v>
      </c>
      <c r="Y4" s="217" t="s">
        <v>196</v>
      </c>
      <c r="Z4" s="157"/>
      <c r="AA4" s="157"/>
      <c r="AE4" s="214"/>
      <c r="AF4" s="214"/>
      <c r="AG4" s="214"/>
      <c r="AH4" s="205"/>
      <c r="AI4" s="214"/>
      <c r="AJ4" s="214"/>
      <c r="AK4" s="214"/>
      <c r="AL4" s="214"/>
      <c r="AM4" s="214"/>
      <c r="AN4" s="214"/>
      <c r="AO4" s="214"/>
      <c r="AP4" s="214"/>
    </row>
    <row r="5" spans="1:42" x14ac:dyDescent="0.2">
      <c r="F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363" t="s">
        <v>231</v>
      </c>
      <c r="AC5" s="157"/>
      <c r="AD5" s="360" t="s">
        <v>176</v>
      </c>
    </row>
    <row r="6" spans="1:42" x14ac:dyDescent="0.2">
      <c r="A6" s="326" t="s">
        <v>10</v>
      </c>
      <c r="B6" s="326" t="s">
        <v>58</v>
      </c>
      <c r="C6" s="327" t="s">
        <v>133</v>
      </c>
      <c r="D6" s="328"/>
      <c r="E6" s="328"/>
      <c r="F6" s="329"/>
      <c r="G6" s="327" t="s">
        <v>136</v>
      </c>
      <c r="H6" s="328"/>
      <c r="I6" s="328"/>
      <c r="J6" s="329"/>
      <c r="K6" s="327" t="s">
        <v>139</v>
      </c>
      <c r="L6" s="328"/>
      <c r="M6" s="328"/>
      <c r="N6" s="329"/>
      <c r="O6" s="327" t="s">
        <v>142</v>
      </c>
      <c r="P6" s="328"/>
      <c r="Q6" s="328"/>
      <c r="R6" s="329"/>
      <c r="S6" s="327" t="s">
        <v>144</v>
      </c>
      <c r="T6" s="328"/>
      <c r="U6" s="328"/>
      <c r="V6" s="329"/>
      <c r="W6" s="326" t="s">
        <v>79</v>
      </c>
      <c r="X6" s="330" t="s">
        <v>220</v>
      </c>
      <c r="Y6" s="330"/>
      <c r="Z6" s="331" t="s">
        <v>221</v>
      </c>
      <c r="AA6" s="332"/>
      <c r="AB6" s="157"/>
      <c r="AC6" s="157"/>
      <c r="AD6" s="158" t="s">
        <v>224</v>
      </c>
      <c r="AE6" s="159"/>
      <c r="AF6" s="159" t="s">
        <v>191</v>
      </c>
      <c r="AG6" s="159"/>
      <c r="AH6" s="209" t="s">
        <v>192</v>
      </c>
      <c r="AI6" s="159"/>
      <c r="AJ6" s="159" t="s">
        <v>193</v>
      </c>
      <c r="AK6" s="160"/>
      <c r="AL6" s="159" t="s">
        <v>194</v>
      </c>
      <c r="AM6" s="160"/>
      <c r="AN6" s="160" t="s">
        <v>229</v>
      </c>
      <c r="AO6" s="359"/>
      <c r="AP6" s="160" t="s">
        <v>230</v>
      </c>
    </row>
    <row r="7" spans="1:42" x14ac:dyDescent="0.2">
      <c r="A7" s="333">
        <v>1</v>
      </c>
      <c r="B7" s="308" t="s">
        <v>259</v>
      </c>
      <c r="C7" s="334"/>
      <c r="D7" s="335" t="s">
        <v>222</v>
      </c>
      <c r="E7" s="336"/>
      <c r="F7" s="337"/>
      <c r="G7" s="334"/>
      <c r="H7" s="335" t="s">
        <v>222</v>
      </c>
      <c r="I7" s="336"/>
      <c r="J7" s="337"/>
      <c r="K7" s="334"/>
      <c r="L7" s="335" t="s">
        <v>222</v>
      </c>
      <c r="M7" s="336"/>
      <c r="N7" s="337"/>
      <c r="O7" s="334"/>
      <c r="P7" s="335" t="s">
        <v>222</v>
      </c>
      <c r="Q7" s="336"/>
      <c r="R7" s="337"/>
      <c r="S7" s="334"/>
      <c r="T7" s="335" t="s">
        <v>222</v>
      </c>
      <c r="U7" s="336"/>
      <c r="V7" s="337"/>
      <c r="W7" s="338"/>
      <c r="X7" s="339"/>
      <c r="Y7" s="334"/>
      <c r="Z7" s="335"/>
      <c r="AA7" s="340"/>
      <c r="AB7" s="341"/>
      <c r="AD7" s="211">
        <f>SUM(AE7:AP7)</f>
        <v>277</v>
      </c>
      <c r="AE7" s="212">
        <f>IFERROR(INDEX(V!$R:$R,MATCH(AF7,V!$L:$L,0)),"")</f>
        <v>143</v>
      </c>
      <c r="AF7" s="213" t="str">
        <f>IFERROR(LEFT($B7,(FIND(",",$B7,1)-1)),"")</f>
        <v>Jaan Saar</v>
      </c>
      <c r="AG7" s="212">
        <f>IFERROR(INDEX(V!$R:$R,MATCH(AH7,V!$L:$L,0)),"")</f>
        <v>134</v>
      </c>
      <c r="AH7" s="213" t="str">
        <f>IFERROR(MID($B7,FIND(", ",$B7)+2,256),"")</f>
        <v>Urmas Randlaine</v>
      </c>
      <c r="AI7" s="212" t="str">
        <f>IFERROR(INDEX(V!$R:$R,MATCH(AJ7,V!$L:$L,0)),"")</f>
        <v/>
      </c>
      <c r="AJ7" s="213" t="str">
        <f>IFERROR(MID($B7,FIND("^",SUBSTITUTE($B7,", ","^",1))+2,FIND("^",SUBSTITUTE($B7,", ","^",2))-FIND("^",SUBSTITUTE($B7,", ","^",1))-2),"")</f>
        <v/>
      </c>
      <c r="AK7" s="212" t="str">
        <f>IFERROR(INDEX(V!$R:$R,MATCH(AL7,V!$L:$L,0)),"")</f>
        <v/>
      </c>
      <c r="AL7" s="213" t="str">
        <f>IFERROR(MID($B7,FIND(", ",$B7,FIND(", ",$B7,FIND(", ",$B7))+1)+2,30000),"")</f>
        <v/>
      </c>
      <c r="AM7" s="212" t="str">
        <f>IFERROR(INDEX(V!$R:$R,MATCH(AN7,V!$L:$L,0)),"")</f>
        <v/>
      </c>
      <c r="AN7" s="213" t="str">
        <f>IFERROR(MID($B7,FIND(", ",$B7,FIND(", ",$B7)+1)+2,FIND(", ",$B7,FIND(", ",$B7,FIND(", ",$B7)+1)+1)-FIND(", ",$B7,FIND(", ",$B7)+1)-2),"")</f>
        <v/>
      </c>
      <c r="AO7" s="212" t="str">
        <f>IFERROR(INDEX(V!$R:$R,MATCH(AP7,V!$L:$L,0)),"")</f>
        <v/>
      </c>
      <c r="AP7" s="213" t="str">
        <f>IFERROR(MID($B7,FIND(", ",$B7,FIND(", ",$B7,FIND(", ",$B7)+1)+1)+2,30000),"")</f>
        <v/>
      </c>
    </row>
    <row r="8" spans="1:42" x14ac:dyDescent="0.2">
      <c r="A8" s="333">
        <v>2</v>
      </c>
      <c r="B8" s="308" t="s">
        <v>210</v>
      </c>
      <c r="C8" s="334"/>
      <c r="D8" s="335" t="s">
        <v>222</v>
      </c>
      <c r="E8" s="336"/>
      <c r="F8" s="337"/>
      <c r="G8" s="334"/>
      <c r="H8" s="335" t="s">
        <v>222</v>
      </c>
      <c r="I8" s="336"/>
      <c r="J8" s="337"/>
      <c r="K8" s="334"/>
      <c r="L8" s="335" t="s">
        <v>222</v>
      </c>
      <c r="M8" s="336"/>
      <c r="N8" s="337"/>
      <c r="O8" s="334"/>
      <c r="P8" s="335" t="s">
        <v>222</v>
      </c>
      <c r="Q8" s="336"/>
      <c r="R8" s="337"/>
      <c r="S8" s="334"/>
      <c r="T8" s="335" t="s">
        <v>222</v>
      </c>
      <c r="U8" s="336"/>
      <c r="V8" s="337"/>
      <c r="W8" s="338"/>
      <c r="X8" s="339"/>
      <c r="Y8" s="334"/>
      <c r="Z8" s="335"/>
      <c r="AA8" s="340"/>
      <c r="AB8" s="341"/>
      <c r="AC8" s="210"/>
      <c r="AD8" s="211">
        <f t="shared" ref="AD8:AD11" si="0">SUM(AE8:AL8)</f>
        <v>97</v>
      </c>
      <c r="AE8" s="212">
        <f>IFERROR(INDEX(V!$R:$R,MATCH(AF8,V!$L:$L,0)),"")</f>
        <v>42</v>
      </c>
      <c r="AF8" s="213" t="str">
        <f t="shared" ref="AF8:AF14" si="1">IFERROR(LEFT($B8,(FIND(",",$B8,1)-1)),"")</f>
        <v>Andres Veski</v>
      </c>
      <c r="AG8" s="212">
        <f>IFERROR(INDEX(V!$R:$R,MATCH(AH8,V!$L:$L,0)),"")</f>
        <v>55</v>
      </c>
      <c r="AH8" s="213" t="str">
        <f t="shared" ref="AH8:AH14" si="2">IFERROR(MID($B8,FIND(", ",$B8)+2,256),"")</f>
        <v>Svetlana Veski</v>
      </c>
      <c r="AI8" s="212" t="str">
        <f>IFERROR(INDEX(V!$R:$R,MATCH(AJ8,V!$L:$L,0)),"")</f>
        <v/>
      </c>
      <c r="AJ8" s="213" t="str">
        <f t="shared" ref="AJ8:AJ14" si="3">IFERROR(MID($B8,FIND("^",SUBSTITUTE($B8,", ","^",1))+2,FIND("^",SUBSTITUTE($B8,", ","^",2))-FIND("^",SUBSTITUTE($B8,", ","^",1))-2),"")</f>
        <v/>
      </c>
      <c r="AK8" s="212" t="str">
        <f>IFERROR(INDEX(V!$R:$R,MATCH(AL8,V!$L:$L,0)),"")</f>
        <v/>
      </c>
      <c r="AL8" s="213" t="str">
        <f t="shared" ref="AL8:AL14" si="4">IFERROR(MID($B8,FIND(", ",$B8,FIND(", ",$B8,FIND(", ",$B8))+1)+2,30000),"")</f>
        <v/>
      </c>
      <c r="AM8" s="212" t="str">
        <f>IFERROR(INDEX(V!$R:$R,MATCH(AN8,V!$L:$L,0)),"")</f>
        <v/>
      </c>
      <c r="AN8" s="213" t="str">
        <f t="shared" ref="AN8:AN14" si="5">IFERROR(MID($B8,FIND(", ",$B8,FIND(", ",$B8)+1)+2,FIND(", ",$B8,FIND(", ",$B8,FIND(", ",$B8)+1)+1)-FIND(", ",$B8,FIND(", ",$B8)+1)-2),"")</f>
        <v/>
      </c>
      <c r="AO8" s="212" t="str">
        <f>IFERROR(INDEX(V!$R:$R,MATCH(AP8,V!$L:$L,0)),"")</f>
        <v/>
      </c>
      <c r="AP8" s="213" t="str">
        <f t="shared" ref="AP8:AP14" si="6">IFERROR(MID($B8,FIND(", ",$B8,FIND(", ",$B8,FIND(", ",$B8)+1)+1)+2,30000),"")</f>
        <v/>
      </c>
    </row>
    <row r="9" spans="1:42" x14ac:dyDescent="0.2">
      <c r="A9" s="333">
        <v>3</v>
      </c>
      <c r="B9" s="255" t="s">
        <v>279</v>
      </c>
      <c r="C9" s="334"/>
      <c r="D9" s="335" t="s">
        <v>222</v>
      </c>
      <c r="E9" s="336"/>
      <c r="F9" s="337"/>
      <c r="G9" s="334"/>
      <c r="H9" s="335" t="s">
        <v>222</v>
      </c>
      <c r="I9" s="336"/>
      <c r="J9" s="337"/>
      <c r="K9" s="334"/>
      <c r="L9" s="335" t="s">
        <v>222</v>
      </c>
      <c r="M9" s="336"/>
      <c r="N9" s="337"/>
      <c r="O9" s="334"/>
      <c r="P9" s="335" t="s">
        <v>222</v>
      </c>
      <c r="Q9" s="336"/>
      <c r="R9" s="337"/>
      <c r="S9" s="334"/>
      <c r="T9" s="335" t="s">
        <v>222</v>
      </c>
      <c r="U9" s="336"/>
      <c r="V9" s="337"/>
      <c r="W9" s="338"/>
      <c r="X9" s="339"/>
      <c r="Y9" s="334"/>
      <c r="Z9" s="335"/>
      <c r="AA9" s="340"/>
      <c r="AB9" s="341"/>
      <c r="AC9" s="210"/>
      <c r="AD9" s="211">
        <f t="shared" si="0"/>
        <v>241</v>
      </c>
      <c r="AE9" s="212">
        <f>IFERROR(INDEX(V!$R:$R,MATCH(AF9,V!$L:$L,0)),"")</f>
        <v>98</v>
      </c>
      <c r="AF9" s="213" t="str">
        <f t="shared" si="1"/>
        <v>Annaliset Neiland</v>
      </c>
      <c r="AG9" s="212">
        <f>IFERROR(INDEX(V!$R:$R,MATCH(AH9,V!$L:$L,0)),"")</f>
        <v>143</v>
      </c>
      <c r="AH9" s="213" t="str">
        <f t="shared" si="2"/>
        <v>Hillar Neiland</v>
      </c>
      <c r="AI9" s="212" t="str">
        <f>IFERROR(INDEX(V!$R:$R,MATCH(AJ9,V!$L:$L,0)),"")</f>
        <v/>
      </c>
      <c r="AJ9" s="213" t="str">
        <f t="shared" si="3"/>
        <v/>
      </c>
      <c r="AK9" s="212" t="str">
        <f>IFERROR(INDEX(V!$R:$R,MATCH(AL9,V!$L:$L,0)),"")</f>
        <v/>
      </c>
      <c r="AL9" s="213" t="str">
        <f t="shared" si="4"/>
        <v/>
      </c>
      <c r="AM9" s="212" t="str">
        <f>IFERROR(INDEX(V!$R:$R,MATCH(AN9,V!$L:$L,0)),"")</f>
        <v/>
      </c>
      <c r="AN9" s="213" t="str">
        <f t="shared" si="5"/>
        <v/>
      </c>
      <c r="AO9" s="212" t="str">
        <f>IFERROR(INDEX(V!$R:$R,MATCH(AP9,V!$L:$L,0)),"")</f>
        <v/>
      </c>
      <c r="AP9" s="213" t="str">
        <f t="shared" si="6"/>
        <v/>
      </c>
    </row>
    <row r="10" spans="1:42" x14ac:dyDescent="0.2">
      <c r="A10" s="333">
        <v>4</v>
      </c>
      <c r="B10" s="255" t="s">
        <v>227</v>
      </c>
      <c r="C10" s="334"/>
      <c r="D10" s="335" t="s">
        <v>222</v>
      </c>
      <c r="E10" s="336"/>
      <c r="F10" s="337"/>
      <c r="G10" s="334"/>
      <c r="H10" s="335" t="s">
        <v>222</v>
      </c>
      <c r="I10" s="336"/>
      <c r="J10" s="337"/>
      <c r="K10" s="334"/>
      <c r="L10" s="335" t="s">
        <v>222</v>
      </c>
      <c r="M10" s="336"/>
      <c r="N10" s="337"/>
      <c r="O10" s="334"/>
      <c r="P10" s="335" t="s">
        <v>222</v>
      </c>
      <c r="Q10" s="336"/>
      <c r="R10" s="337"/>
      <c r="S10" s="334"/>
      <c r="T10" s="335" t="s">
        <v>222</v>
      </c>
      <c r="U10" s="336"/>
      <c r="V10" s="337"/>
      <c r="W10" s="338"/>
      <c r="X10" s="339"/>
      <c r="Y10" s="334"/>
      <c r="Z10" s="335"/>
      <c r="AA10" s="340"/>
      <c r="AB10" s="341"/>
      <c r="AC10" s="210"/>
      <c r="AD10" s="211">
        <f t="shared" si="0"/>
        <v>232</v>
      </c>
      <c r="AE10" s="212">
        <f>IFERROR(INDEX(V!$R:$R,MATCH(AF10,V!$L:$L,0)),"")</f>
        <v>115</v>
      </c>
      <c r="AF10" s="213" t="str">
        <f t="shared" si="1"/>
        <v>Oksana Rõndenkova</v>
      </c>
      <c r="AG10" s="212">
        <f>IFERROR(INDEX(V!$R:$R,MATCH(AH10,V!$L:$L,0)),"")</f>
        <v>117</v>
      </c>
      <c r="AH10" s="213" t="str">
        <f t="shared" si="2"/>
        <v>Oleg Rõndenkov</v>
      </c>
      <c r="AI10" s="212" t="str">
        <f>IFERROR(INDEX(V!$R:$R,MATCH(AJ10,V!$L:$L,0)),"")</f>
        <v/>
      </c>
      <c r="AJ10" s="213" t="str">
        <f t="shared" si="3"/>
        <v/>
      </c>
      <c r="AK10" s="212" t="str">
        <f>IFERROR(INDEX(V!$R:$R,MATCH(AL10,V!$L:$L,0)),"")</f>
        <v/>
      </c>
      <c r="AL10" s="213" t="str">
        <f t="shared" si="4"/>
        <v/>
      </c>
      <c r="AM10" s="212" t="str">
        <f>IFERROR(INDEX(V!$R:$R,MATCH(AN10,V!$L:$L,0)),"")</f>
        <v/>
      </c>
      <c r="AN10" s="213" t="str">
        <f t="shared" si="5"/>
        <v/>
      </c>
      <c r="AO10" s="212" t="str">
        <f>IFERROR(INDEX(V!$R:$R,MATCH(AP10,V!$L:$L,0)),"")</f>
        <v/>
      </c>
      <c r="AP10" s="213" t="str">
        <f t="shared" si="6"/>
        <v/>
      </c>
    </row>
    <row r="11" spans="1:42" x14ac:dyDescent="0.2">
      <c r="A11" s="333">
        <v>5</v>
      </c>
      <c r="B11" s="308" t="s">
        <v>260</v>
      </c>
      <c r="C11" s="334"/>
      <c r="D11" s="335" t="s">
        <v>222</v>
      </c>
      <c r="E11" s="336"/>
      <c r="F11" s="337"/>
      <c r="G11" s="334"/>
      <c r="H11" s="335" t="s">
        <v>222</v>
      </c>
      <c r="I11" s="336"/>
      <c r="J11" s="337"/>
      <c r="K11" s="334"/>
      <c r="L11" s="335" t="s">
        <v>222</v>
      </c>
      <c r="M11" s="336"/>
      <c r="N11" s="337"/>
      <c r="O11" s="334"/>
      <c r="P11" s="335" t="s">
        <v>222</v>
      </c>
      <c r="Q11" s="336"/>
      <c r="R11" s="337"/>
      <c r="S11" s="334"/>
      <c r="T11" s="335" t="s">
        <v>222</v>
      </c>
      <c r="U11" s="336"/>
      <c r="V11" s="337"/>
      <c r="W11" s="338"/>
      <c r="X11" s="339"/>
      <c r="Y11" s="334"/>
      <c r="Z11" s="335"/>
      <c r="AA11" s="340"/>
      <c r="AB11" s="341"/>
      <c r="AC11" s="210"/>
      <c r="AD11" s="211">
        <f t="shared" si="0"/>
        <v>282</v>
      </c>
      <c r="AE11" s="212">
        <f>IFERROR(INDEX(V!$R:$R,MATCH(AF11,V!$L:$L,0)),"")</f>
        <v>141</v>
      </c>
      <c r="AF11" s="213" t="str">
        <f t="shared" si="1"/>
        <v>Enn Tokman</v>
      </c>
      <c r="AG11" s="212">
        <f>IFERROR(INDEX(V!$R:$R,MATCH(AH11,V!$L:$L,0)),"")</f>
        <v>141</v>
      </c>
      <c r="AH11" s="213" t="str">
        <f t="shared" si="2"/>
        <v>Kenneth Muusikus</v>
      </c>
      <c r="AI11" s="212" t="str">
        <f>IFERROR(INDEX(V!$R:$R,MATCH(AJ11,V!$L:$L,0)),"")</f>
        <v/>
      </c>
      <c r="AJ11" s="213" t="str">
        <f t="shared" si="3"/>
        <v/>
      </c>
      <c r="AK11" s="212" t="str">
        <f>IFERROR(INDEX(V!$R:$R,MATCH(AL11,V!$L:$L,0)),"")</f>
        <v/>
      </c>
      <c r="AL11" s="213" t="str">
        <f t="shared" si="4"/>
        <v/>
      </c>
      <c r="AM11" s="212" t="str">
        <f>IFERROR(INDEX(V!$R:$R,MATCH(AN11,V!$L:$L,0)),"")</f>
        <v/>
      </c>
      <c r="AN11" s="213" t="str">
        <f t="shared" si="5"/>
        <v/>
      </c>
      <c r="AO11" s="212" t="str">
        <f>IFERROR(INDEX(V!$R:$R,MATCH(AP11,V!$L:$L,0)),"")</f>
        <v/>
      </c>
      <c r="AP11" s="213" t="str">
        <f t="shared" si="6"/>
        <v/>
      </c>
    </row>
    <row r="12" spans="1:42" x14ac:dyDescent="0.2">
      <c r="A12" s="333">
        <v>6</v>
      </c>
      <c r="B12" s="255" t="s">
        <v>261</v>
      </c>
      <c r="C12" s="334"/>
      <c r="D12" s="335" t="s">
        <v>222</v>
      </c>
      <c r="E12" s="336"/>
      <c r="F12" s="337"/>
      <c r="G12" s="334"/>
      <c r="H12" s="335" t="s">
        <v>222</v>
      </c>
      <c r="I12" s="336"/>
      <c r="J12" s="337"/>
      <c r="K12" s="334"/>
      <c r="L12" s="335" t="s">
        <v>222</v>
      </c>
      <c r="M12" s="336"/>
      <c r="N12" s="337"/>
      <c r="O12" s="334"/>
      <c r="P12" s="335" t="s">
        <v>222</v>
      </c>
      <c r="Q12" s="336"/>
      <c r="R12" s="337"/>
      <c r="S12" s="334"/>
      <c r="T12" s="335" t="s">
        <v>222</v>
      </c>
      <c r="U12" s="336"/>
      <c r="V12" s="337"/>
      <c r="W12" s="338"/>
      <c r="X12" s="339"/>
      <c r="Y12" s="334"/>
      <c r="Z12" s="335"/>
      <c r="AA12" s="340"/>
      <c r="AB12" s="341"/>
      <c r="AC12" s="210"/>
      <c r="AD12" s="211">
        <f t="shared" ref="AD12:AD14" si="7">SUM(AE12:AL12)</f>
        <v>106</v>
      </c>
      <c r="AE12" s="212">
        <f>IFERROR(INDEX(V!$R:$R,MATCH(AF12,V!$L:$L,0)),"")</f>
        <v>53</v>
      </c>
      <c r="AF12" s="213" t="str">
        <f t="shared" si="1"/>
        <v>Lemmit Toomra</v>
      </c>
      <c r="AG12" s="212">
        <f>IFERROR(INDEX(V!$R:$R,MATCH(AH12,V!$L:$L,0)),"")</f>
        <v>53</v>
      </c>
      <c r="AH12" s="213" t="str">
        <f t="shared" si="2"/>
        <v>Tõnu Kapper</v>
      </c>
      <c r="AI12" s="212" t="str">
        <f>IFERROR(INDEX(V!$R:$R,MATCH(AJ12,V!$L:$L,0)),"")</f>
        <v/>
      </c>
      <c r="AJ12" s="213" t="str">
        <f t="shared" si="3"/>
        <v/>
      </c>
      <c r="AK12" s="212" t="str">
        <f>IFERROR(INDEX(V!$R:$R,MATCH(AL12,V!$L:$L,0)),"")</f>
        <v/>
      </c>
      <c r="AL12" s="213" t="str">
        <f t="shared" si="4"/>
        <v/>
      </c>
      <c r="AM12" s="212" t="str">
        <f>IFERROR(INDEX(V!$R:$R,MATCH(AN12,V!$L:$L,0)),"")</f>
        <v/>
      </c>
      <c r="AN12" s="213" t="str">
        <f t="shared" si="5"/>
        <v/>
      </c>
      <c r="AO12" s="212" t="str">
        <f>IFERROR(INDEX(V!$R:$R,MATCH(AP12,V!$L:$L,0)),"")</f>
        <v/>
      </c>
      <c r="AP12" s="213" t="str">
        <f t="shared" si="6"/>
        <v/>
      </c>
    </row>
    <row r="13" spans="1:42" x14ac:dyDescent="0.2">
      <c r="A13" s="333">
        <v>7</v>
      </c>
      <c r="B13" s="342" t="s">
        <v>262</v>
      </c>
      <c r="C13" s="334"/>
      <c r="D13" s="335" t="s">
        <v>222</v>
      </c>
      <c r="E13" s="336"/>
      <c r="F13" s="337"/>
      <c r="G13" s="334"/>
      <c r="H13" s="335" t="s">
        <v>222</v>
      </c>
      <c r="I13" s="336"/>
      <c r="J13" s="337"/>
      <c r="K13" s="334"/>
      <c r="L13" s="335" t="s">
        <v>222</v>
      </c>
      <c r="M13" s="336"/>
      <c r="N13" s="337"/>
      <c r="O13" s="334"/>
      <c r="P13" s="335" t="s">
        <v>222</v>
      </c>
      <c r="Q13" s="336"/>
      <c r="R13" s="337"/>
      <c r="S13" s="334"/>
      <c r="T13" s="335" t="s">
        <v>222</v>
      </c>
      <c r="U13" s="336"/>
      <c r="V13" s="337"/>
      <c r="W13" s="338"/>
      <c r="X13" s="339"/>
      <c r="Y13" s="334"/>
      <c r="Z13" s="335"/>
      <c r="AA13" s="340"/>
      <c r="AB13" s="341"/>
      <c r="AC13" s="210"/>
      <c r="AD13" s="211">
        <f t="shared" si="7"/>
        <v>263</v>
      </c>
      <c r="AE13" s="212">
        <f>IFERROR(INDEX(V!$R:$R,MATCH(AF13,V!$L:$L,0)),"")</f>
        <v>153</v>
      </c>
      <c r="AF13" s="213" t="str">
        <f t="shared" si="1"/>
        <v>Kaspar Mänd</v>
      </c>
      <c r="AG13" s="212">
        <f>IFERROR(INDEX(V!$R:$R,MATCH(AH13,V!$L:$L,0)),"")</f>
        <v>110</v>
      </c>
      <c r="AH13" s="213" t="str">
        <f t="shared" si="2"/>
        <v>Sander Rose</v>
      </c>
      <c r="AI13" s="212" t="str">
        <f>IFERROR(INDEX(V!$R:$R,MATCH(AJ13,V!$L:$L,0)),"")</f>
        <v/>
      </c>
      <c r="AJ13" s="213" t="str">
        <f t="shared" si="3"/>
        <v/>
      </c>
      <c r="AK13" s="212" t="str">
        <f>IFERROR(INDEX(V!$R:$R,MATCH(AL13,V!$L:$L,0)),"")</f>
        <v/>
      </c>
      <c r="AL13" s="213" t="str">
        <f t="shared" si="4"/>
        <v/>
      </c>
      <c r="AM13" s="212" t="str">
        <f>IFERROR(INDEX(V!$R:$R,MATCH(AN13,V!$L:$L,0)),"")</f>
        <v/>
      </c>
      <c r="AN13" s="213" t="str">
        <f t="shared" si="5"/>
        <v/>
      </c>
      <c r="AO13" s="212" t="str">
        <f>IFERROR(INDEX(V!$R:$R,MATCH(AP13,V!$L:$L,0)),"")</f>
        <v/>
      </c>
      <c r="AP13" s="213" t="str">
        <f t="shared" si="6"/>
        <v/>
      </c>
    </row>
    <row r="14" spans="1:42" x14ac:dyDescent="0.2">
      <c r="A14" s="333">
        <v>8</v>
      </c>
      <c r="B14" s="342" t="s">
        <v>263</v>
      </c>
      <c r="C14" s="334"/>
      <c r="D14" s="335" t="s">
        <v>222</v>
      </c>
      <c r="E14" s="336"/>
      <c r="F14" s="337"/>
      <c r="G14" s="334"/>
      <c r="H14" s="335" t="s">
        <v>222</v>
      </c>
      <c r="I14" s="336"/>
      <c r="J14" s="337"/>
      <c r="K14" s="334"/>
      <c r="L14" s="335" t="s">
        <v>222</v>
      </c>
      <c r="M14" s="336"/>
      <c r="N14" s="337"/>
      <c r="O14" s="334"/>
      <c r="P14" s="335" t="s">
        <v>222</v>
      </c>
      <c r="Q14" s="336"/>
      <c r="R14" s="337"/>
      <c r="S14" s="334"/>
      <c r="T14" s="335" t="s">
        <v>222</v>
      </c>
      <c r="U14" s="336"/>
      <c r="V14" s="337"/>
      <c r="W14" s="338"/>
      <c r="X14" s="339"/>
      <c r="Y14" s="334"/>
      <c r="Z14" s="335"/>
      <c r="AA14" s="340"/>
      <c r="AB14" s="341"/>
      <c r="AC14" s="210"/>
      <c r="AD14" s="211">
        <f t="shared" si="7"/>
        <v>75</v>
      </c>
      <c r="AE14" s="212">
        <f>IFERROR(INDEX(V!$R:$R,MATCH(AF14,V!$L:$L,0)),"")</f>
        <v>52</v>
      </c>
      <c r="AF14" s="213" t="str">
        <f t="shared" si="1"/>
        <v>Andrei Grintšak</v>
      </c>
      <c r="AG14" s="212">
        <f>IFERROR(INDEX(V!$R:$R,MATCH(AH14,V!$L:$L,0)),"")</f>
        <v>23</v>
      </c>
      <c r="AH14" s="213" t="str">
        <f t="shared" si="2"/>
        <v>Elmo Lageda</v>
      </c>
      <c r="AI14" s="212" t="str">
        <f>IFERROR(INDEX(V!$R:$R,MATCH(AJ14,V!$L:$L,0)),"")</f>
        <v/>
      </c>
      <c r="AJ14" s="213" t="str">
        <f t="shared" si="3"/>
        <v/>
      </c>
      <c r="AK14" s="212" t="str">
        <f>IFERROR(INDEX(V!$R:$R,MATCH(AL14,V!$L:$L,0)),"")</f>
        <v/>
      </c>
      <c r="AL14" s="213" t="str">
        <f t="shared" si="4"/>
        <v/>
      </c>
      <c r="AM14" s="212" t="str">
        <f>IFERROR(INDEX(V!$R:$R,MATCH(AN14,V!$L:$L,0)),"")</f>
        <v/>
      </c>
      <c r="AN14" s="213" t="str">
        <f t="shared" si="5"/>
        <v/>
      </c>
      <c r="AO14" s="212" t="str">
        <f>IFERROR(INDEX(V!$R:$R,MATCH(AP14,V!$L:$L,0)),"")</f>
        <v/>
      </c>
      <c r="AP14" s="213" t="str">
        <f t="shared" si="6"/>
        <v/>
      </c>
    </row>
    <row r="15" spans="1:42" hidden="1" x14ac:dyDescent="0.2"/>
    <row r="16" spans="1:42" hidden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9" spans="1:6" x14ac:dyDescent="0.2">
      <c r="A299" s="157"/>
      <c r="B299" s="157"/>
      <c r="C299" s="207" t="s">
        <v>190</v>
      </c>
      <c r="F299" s="724" t="s">
        <v>79</v>
      </c>
    </row>
    <row r="300" spans="1:6" x14ac:dyDescent="0.2">
      <c r="A300" s="301">
        <v>1</v>
      </c>
      <c r="B300" s="344" t="str">
        <f t="shared" ref="B300:B307" si="8">IFERROR(INDEX(B$1:B$95,MATCH(A300,A$1:A$95,0)),"")</f>
        <v>Jaan Saar, Urmas Randlaine</v>
      </c>
      <c r="C300" s="274">
        <f>LARGE(A300:A400,1)*2+2-A300*2</f>
        <v>16</v>
      </c>
      <c r="F300" s="724">
        <v>4</v>
      </c>
    </row>
    <row r="301" spans="1:6" x14ac:dyDescent="0.2">
      <c r="A301" s="301">
        <v>2</v>
      </c>
      <c r="B301" s="344" t="str">
        <f t="shared" si="8"/>
        <v>Andres Veski, Svetlana Veski</v>
      </c>
      <c r="C301" s="274">
        <f t="shared" ref="C301:C307" si="9">LARGE(A301:A401,1)*2+2-A301*2</f>
        <v>14</v>
      </c>
      <c r="F301" s="724">
        <v>3</v>
      </c>
    </row>
    <row r="302" spans="1:6" x14ac:dyDescent="0.2">
      <c r="A302" s="301">
        <v>3</v>
      </c>
      <c r="B302" s="344" t="str">
        <f t="shared" si="8"/>
        <v>Annaliset Neiland, Hillar Neiland</v>
      </c>
      <c r="C302" s="274">
        <f t="shared" si="9"/>
        <v>12</v>
      </c>
      <c r="F302" s="724">
        <v>2</v>
      </c>
    </row>
    <row r="303" spans="1:6" x14ac:dyDescent="0.2">
      <c r="A303" s="301">
        <v>4</v>
      </c>
      <c r="B303" s="344" t="str">
        <f t="shared" si="8"/>
        <v>Oksana Rõndenkova, Oleg Rõndenkov</v>
      </c>
      <c r="C303" s="274">
        <f t="shared" si="9"/>
        <v>10</v>
      </c>
      <c r="F303" s="724">
        <v>2</v>
      </c>
    </row>
    <row r="304" spans="1:6" x14ac:dyDescent="0.2">
      <c r="A304" s="301">
        <v>5</v>
      </c>
      <c r="B304" s="344" t="str">
        <f t="shared" si="8"/>
        <v>Enn Tokman, Kenneth Muusikus</v>
      </c>
      <c r="C304" s="274">
        <f t="shared" si="9"/>
        <v>8</v>
      </c>
      <c r="F304" s="724">
        <v>2</v>
      </c>
    </row>
    <row r="305" spans="1:6" x14ac:dyDescent="0.2">
      <c r="A305" s="301">
        <v>6</v>
      </c>
      <c r="B305" s="344" t="str">
        <f t="shared" si="8"/>
        <v>Lemmit Toomra, Tõnu Kapper</v>
      </c>
      <c r="C305" s="274">
        <f t="shared" si="9"/>
        <v>6</v>
      </c>
      <c r="F305" s="724">
        <v>1</v>
      </c>
    </row>
    <row r="306" spans="1:6" x14ac:dyDescent="0.2">
      <c r="A306" s="301">
        <v>7</v>
      </c>
      <c r="B306" s="344" t="str">
        <f t="shared" si="8"/>
        <v>Kaspar Mänd, Sander Rose</v>
      </c>
      <c r="C306" s="274">
        <f t="shared" si="9"/>
        <v>4</v>
      </c>
      <c r="F306" s="724">
        <v>1</v>
      </c>
    </row>
    <row r="307" spans="1:6" x14ac:dyDescent="0.2">
      <c r="A307" s="301">
        <v>8</v>
      </c>
      <c r="B307" s="344" t="str">
        <f t="shared" si="8"/>
        <v>Andrei Grintšak, Elmo Lageda</v>
      </c>
      <c r="C307" s="274">
        <f t="shared" si="9"/>
        <v>2</v>
      </c>
      <c r="F307" s="724">
        <v>1</v>
      </c>
    </row>
  </sheetData>
  <conditionalFormatting sqref="M7:M14">
    <cfRule type="expression" dxfId="1161" priority="62">
      <formula>IF($K7&lt;$M7,TRUE)</formula>
    </cfRule>
  </conditionalFormatting>
  <conditionalFormatting sqref="Q7:Q14">
    <cfRule type="expression" dxfId="1160" priority="66">
      <formula>IF($O7&lt;$Q7,TRUE)</formula>
    </cfRule>
  </conditionalFormatting>
  <conditionalFormatting sqref="U7:U14">
    <cfRule type="expression" dxfId="1159" priority="70">
      <formula>IF($S7&lt;$U7,TRUE)</formula>
    </cfRule>
  </conditionalFormatting>
  <conditionalFormatting sqref="I7:I14">
    <cfRule type="expression" dxfId="1158" priority="58">
      <formula>IF($G7&lt;$I7,TRUE)</formula>
    </cfRule>
  </conditionalFormatting>
  <conditionalFormatting sqref="F7:F14">
    <cfRule type="containsText" dxfId="1157" priority="44" operator="containsText" text="vaba voor">
      <formula>NOT(ISERROR(SEARCH("vaba voor",F7)))</formula>
    </cfRule>
  </conditionalFormatting>
  <conditionalFormatting sqref="N7:N14">
    <cfRule type="containsText" dxfId="1156" priority="42" operator="containsText" text="vaba voor">
      <formula>NOT(ISERROR(SEARCH("vaba voor",N7)))</formula>
    </cfRule>
  </conditionalFormatting>
  <conditionalFormatting sqref="R7:R14">
    <cfRule type="containsText" dxfId="1155" priority="45" operator="containsText" text="vaba voor">
      <formula>NOT(ISERROR(SEARCH("vaba voor",R7)))</formula>
    </cfRule>
  </conditionalFormatting>
  <conditionalFormatting sqref="V7:V14">
    <cfRule type="containsText" dxfId="1154" priority="41" operator="containsText" text="vaba voor">
      <formula>NOT(ISERROR(SEARCH("vaba voor",V7)))</formula>
    </cfRule>
  </conditionalFormatting>
  <conditionalFormatting sqref="J7:J14">
    <cfRule type="containsText" dxfId="1153" priority="43" operator="containsText" text="vaba voor">
      <formula>NOT(ISERROR(SEARCH("vaba voor",J7)))</formula>
    </cfRule>
  </conditionalFormatting>
  <conditionalFormatting sqref="F7:F14">
    <cfRule type="expression" dxfId="1152" priority="49">
      <formula>IF(AND(ISNUMBER($C7),$C7=$E7),TRUE)</formula>
    </cfRule>
    <cfRule type="expression" dxfId="1151" priority="51">
      <formula>IF($C7&gt;$E7,TRUE)</formula>
    </cfRule>
    <cfRule type="expression" dxfId="1150" priority="52">
      <formula>IF($C7&lt;$E7,TRUE)</formula>
    </cfRule>
  </conditionalFormatting>
  <conditionalFormatting sqref="I7:J14">
    <cfRule type="expression" dxfId="1149" priority="50">
      <formula>IF(AND(ISNUMBER($G7),$G7=$I7),TRUE)</formula>
    </cfRule>
    <cfRule type="expression" dxfId="1148" priority="55">
      <formula>IF($G7&gt;$I7,TRUE)</formula>
    </cfRule>
    <cfRule type="expression" dxfId="1147" priority="56">
      <formula>IF($G7&lt;$I7,TRUE)</formula>
    </cfRule>
  </conditionalFormatting>
  <conditionalFormatting sqref="M7:N14">
    <cfRule type="expression" dxfId="1146" priority="48">
      <formula>IF(AND(ISNUMBER($K7),$K7=$M7),TRUE)</formula>
    </cfRule>
    <cfRule type="expression" dxfId="1145" priority="59">
      <formula>IF($K7&gt;$M7,TRUE)</formula>
    </cfRule>
    <cfRule type="expression" dxfId="1144" priority="60">
      <formula>IF($K7&lt;$M7,TRUE)</formula>
    </cfRule>
  </conditionalFormatting>
  <conditionalFormatting sqref="Q7:R14">
    <cfRule type="expression" dxfId="1143" priority="47">
      <formula>IF(AND(ISNUMBER($O7),$O7=$Q7),TRUE)</formula>
    </cfRule>
    <cfRule type="expression" dxfId="1142" priority="63">
      <formula>IF($O7&gt;$Q7,TRUE)</formula>
    </cfRule>
    <cfRule type="expression" dxfId="1141" priority="64">
      <formula>IF($O7&lt;$Q7,TRUE)</formula>
    </cfRule>
  </conditionalFormatting>
  <conditionalFormatting sqref="U7:V14">
    <cfRule type="expression" dxfId="1140" priority="46">
      <formula>IF(AND(ISNUMBER($S7),$S7=$U7),TRUE)</formula>
    </cfRule>
    <cfRule type="expression" dxfId="1139" priority="67">
      <formula>IF($S7&gt;$U7,TRUE)</formula>
    </cfRule>
    <cfRule type="expression" dxfId="1138" priority="68">
      <formula>IF($S7&lt;$U7,TRUE)</formula>
    </cfRule>
  </conditionalFormatting>
  <conditionalFormatting sqref="I7:I14 M7:M14 Q7:Q14 U7:U14">
    <cfRule type="expression" dxfId="1137" priority="40">
      <formula>AND(I7=0,G7=13)</formula>
    </cfRule>
  </conditionalFormatting>
  <conditionalFormatting sqref="AJ7:AJ14 AH7:AH14 AL7:AL14">
    <cfRule type="expression" dxfId="1136" priority="32">
      <formula>AND(AG7="",FIND(",",AH7))</formula>
    </cfRule>
    <cfRule type="expression" dxfId="1135" priority="34">
      <formula>AND(AG7="",COUNTIF(AH7,"*,*")=0)</formula>
    </cfRule>
  </conditionalFormatting>
  <conditionalFormatting sqref="AF7:AF14">
    <cfRule type="expression" dxfId="1134" priority="33">
      <formula>AND(AE7="",COUNTIF(AF7,"*,*")=0)</formula>
    </cfRule>
  </conditionalFormatting>
  <conditionalFormatting sqref="AN7:AN14 AP7:AP14">
    <cfRule type="expression" dxfId="1133" priority="29">
      <formula>AND(AM7="",COUNTIF(AN7,"*,*")=0)</formula>
    </cfRule>
    <cfRule type="expression" dxfId="1132" priority="31">
      <formula>AND(AM7="",FIND(",",AN7))</formula>
    </cfRule>
  </conditionalFormatting>
  <conditionalFormatting sqref="A7:A14">
    <cfRule type="duplicateValues" dxfId="1131" priority="1064"/>
  </conditionalFormatting>
  <conditionalFormatting sqref="B300:B307">
    <cfRule type="expression" dxfId="1130" priority="1090">
      <formula>A300=3</formula>
    </cfRule>
    <cfRule type="expression" dxfId="1129" priority="1091">
      <formula>A300=2</formula>
    </cfRule>
    <cfRule type="expression" dxfId="1128" priority="1092">
      <formula>A300=1</formula>
    </cfRule>
    <cfRule type="containsBlanks" dxfId="1127" priority="1093">
      <formula>LEN(TRIM(B300))=0</formula>
    </cfRule>
    <cfRule type="duplicateValues" dxfId="1126" priority="1094"/>
  </conditionalFormatting>
  <conditionalFormatting sqref="C7:C14">
    <cfRule type="expression" dxfId="1125" priority="21">
      <formula>AND(C7=0,E7=13)</formula>
    </cfRule>
  </conditionalFormatting>
  <conditionalFormatting sqref="C7:C14">
    <cfRule type="expression" dxfId="1124" priority="26">
      <formula>IF($C7&gt;$E7,TRUE)</formula>
    </cfRule>
  </conditionalFormatting>
  <conditionalFormatting sqref="E7:E14">
    <cfRule type="expression" dxfId="1123" priority="27">
      <formula>IF($C7&lt;$E7,TRUE)</formula>
    </cfRule>
  </conditionalFormatting>
  <conditionalFormatting sqref="C7:E14">
    <cfRule type="expression" dxfId="1122" priority="23">
      <formula>IF(AND(ISNUMBER($C7),$C7=$E7),TRUE)</formula>
    </cfRule>
    <cfRule type="expression" dxfId="1121" priority="24">
      <formula>IF($C7&gt;$E7,TRUE)</formula>
    </cfRule>
    <cfRule type="expression" dxfId="1120" priority="25">
      <formula>IF($C7&lt;$E7,TRUE)</formula>
    </cfRule>
  </conditionalFormatting>
  <conditionalFormatting sqref="E7:E14">
    <cfRule type="expression" dxfId="1119" priority="22">
      <formula>AND(E7=0,C7=13)</formula>
    </cfRule>
  </conditionalFormatting>
  <conditionalFormatting sqref="G7:G14">
    <cfRule type="expression" dxfId="1118" priority="16">
      <formula>AND(G7=0,I7=13)</formula>
    </cfRule>
  </conditionalFormatting>
  <conditionalFormatting sqref="G7:G14">
    <cfRule type="expression" dxfId="1117" priority="20">
      <formula>IF($C7&gt;$E7,TRUE)</formula>
    </cfRule>
  </conditionalFormatting>
  <conditionalFormatting sqref="G7:H14">
    <cfRule type="expression" dxfId="1116" priority="17">
      <formula>IF(AND(ISNUMBER($C7),$C7=$E7),TRUE)</formula>
    </cfRule>
    <cfRule type="expression" dxfId="1115" priority="18">
      <formula>IF($C7&gt;$E7,TRUE)</formula>
    </cfRule>
    <cfRule type="expression" dxfId="1114" priority="19">
      <formula>IF($C7&lt;$E7,TRUE)</formula>
    </cfRule>
  </conditionalFormatting>
  <conditionalFormatting sqref="K7:K14">
    <cfRule type="expression" dxfId="1113" priority="11">
      <formula>AND(K7=0,M7=13)</formula>
    </cfRule>
  </conditionalFormatting>
  <conditionalFormatting sqref="K7:K14">
    <cfRule type="expression" dxfId="1112" priority="15">
      <formula>IF($C7&gt;$E7,TRUE)</formula>
    </cfRule>
  </conditionalFormatting>
  <conditionalFormatting sqref="K7:L14">
    <cfRule type="expression" dxfId="1111" priority="12">
      <formula>IF(AND(ISNUMBER($C7),$C7=$E7),TRUE)</formula>
    </cfRule>
    <cfRule type="expression" dxfId="1110" priority="13">
      <formula>IF($C7&gt;$E7,TRUE)</formula>
    </cfRule>
    <cfRule type="expression" dxfId="1109" priority="14">
      <formula>IF($C7&lt;$E7,TRUE)</formula>
    </cfRule>
  </conditionalFormatting>
  <conditionalFormatting sqref="O7:O14">
    <cfRule type="expression" dxfId="1108" priority="6">
      <formula>AND(O7=0,Q7=13)</formula>
    </cfRule>
  </conditionalFormatting>
  <conditionalFormatting sqref="O7:O14">
    <cfRule type="expression" dxfId="1107" priority="10">
      <formula>IF($C7&gt;$E7,TRUE)</formula>
    </cfRule>
  </conditionalFormatting>
  <conditionalFormatting sqref="O7:P14">
    <cfRule type="expression" dxfId="1106" priority="7">
      <formula>IF(AND(ISNUMBER($C7),$C7=$E7),TRUE)</formula>
    </cfRule>
    <cfRule type="expression" dxfId="1105" priority="8">
      <formula>IF($C7&gt;$E7,TRUE)</formula>
    </cfRule>
    <cfRule type="expression" dxfId="1104" priority="9">
      <formula>IF($C7&lt;$E7,TRUE)</formula>
    </cfRule>
  </conditionalFormatting>
  <conditionalFormatting sqref="S7:S14">
    <cfRule type="expression" dxfId="1103" priority="1">
      <formula>AND(S7=0,U7=13)</formula>
    </cfRule>
  </conditionalFormatting>
  <conditionalFormatting sqref="S7:S14">
    <cfRule type="expression" dxfId="1102" priority="5">
      <formula>IF($C7&gt;$E7,TRUE)</formula>
    </cfRule>
  </conditionalFormatting>
  <conditionalFormatting sqref="S7:T14">
    <cfRule type="expression" dxfId="1101" priority="2">
      <formula>IF(AND(ISNUMBER($C7),$C7=$E7),TRUE)</formula>
    </cfRule>
    <cfRule type="expression" dxfId="1100" priority="3">
      <formula>IF($C7&gt;$E7,TRUE)</formula>
    </cfRule>
    <cfRule type="expression" dxfId="1099" priority="4">
      <formula>IF($C7&lt;$E7,TRUE)</formula>
    </cfRule>
  </conditionalFormatting>
  <pageMargins left="0.78740157480314965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06"/>
  <sheetViews>
    <sheetView showGridLines="0" showRowColHeaders="0" workbookViewId="0">
      <pane ySplit="1" topLeftCell="A2" activePane="bottomLeft" state="frozen"/>
      <selection pane="bottomLeft" activeCell="A5" sqref="A5"/>
    </sheetView>
  </sheetViews>
  <sheetFormatPr defaultRowHeight="12.75" x14ac:dyDescent="0.2"/>
  <cols>
    <col min="1" max="1" width="3.28515625" style="1" customWidth="1"/>
    <col min="2" max="2" width="46.85546875" style="1" bestFit="1" customWidth="1"/>
    <col min="3" max="9" width="5.85546875" style="1" customWidth="1"/>
    <col min="10" max="15" width="5.5703125" style="1" customWidth="1"/>
    <col min="16" max="18" width="9.140625" style="1" hidden="1" customWidth="1"/>
    <col min="19" max="19" width="11.5703125" style="1" hidden="1" customWidth="1"/>
    <col min="20" max="20" width="9.140625" style="1" hidden="1" customWidth="1"/>
    <col min="21" max="21" width="9.140625" style="1"/>
    <col min="22" max="27" width="0" style="1" hidden="1" customWidth="1"/>
    <col min="28" max="28" width="9.140625" style="1" hidden="1" customWidth="1"/>
    <col min="29" max="29" width="9.140625" style="1" customWidth="1"/>
    <col min="30" max="31" width="9.140625" style="1" hidden="1" customWidth="1"/>
    <col min="32" max="32" width="18.140625" style="1" hidden="1" customWidth="1"/>
    <col min="33" max="33" width="9.140625" style="1" hidden="1" customWidth="1"/>
    <col min="34" max="34" width="29.28515625" style="1" hidden="1" customWidth="1"/>
    <col min="35" max="35" width="9.140625" style="1" hidden="1" customWidth="1"/>
    <col min="36" max="36" width="17.28515625" style="1" hidden="1" customWidth="1"/>
    <col min="37" max="37" width="9.140625" style="1" hidden="1" customWidth="1"/>
    <col min="38" max="38" width="13.85546875" style="1" hidden="1" customWidth="1"/>
    <col min="39" max="39" width="9.140625" style="1" hidden="1" customWidth="1"/>
    <col min="40" max="40" width="17.28515625" style="1" hidden="1" customWidth="1"/>
    <col min="41" max="41" width="0" style="1" hidden="1" customWidth="1"/>
    <col min="42" max="42" width="13.85546875" style="1" hidden="1" customWidth="1"/>
    <col min="43" max="16384" width="9.140625" style="1"/>
  </cols>
  <sheetData>
    <row r="1" spans="1:42" x14ac:dyDescent="0.2">
      <c r="A1" s="206" t="str">
        <f>UPPER((Kalend!E11)&amp;" - "&amp;(Kalend!C11))&amp;" - "&amp;LOWER(Kalend!D11)&amp;" - "&amp;(Kalend!A11)&amp;" kell "&amp;(Kalend!B11)&amp;" - "&amp;(Kalend!F11)</f>
        <v>V2 - VOKA IV SISE-KV 2. ETAPP - trio - P, 19.12.2021 kell 11:00 - Voka petangihall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P1" s="232" t="s">
        <v>71</v>
      </c>
      <c r="Q1" s="233"/>
      <c r="R1" s="233"/>
      <c r="S1" s="233"/>
      <c r="T1" s="233"/>
      <c r="U1" s="40"/>
      <c r="V1" s="171"/>
      <c r="W1" s="157"/>
      <c r="X1" s="157"/>
      <c r="Y1" s="157"/>
      <c r="AD1" s="44" t="s">
        <v>71</v>
      </c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303"/>
      <c r="AP1" s="303"/>
    </row>
    <row r="2" spans="1:42" x14ac:dyDescent="0.2">
      <c r="A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157"/>
      <c r="Q2" s="157"/>
      <c r="R2" s="157"/>
      <c r="S2" s="157"/>
      <c r="T2" s="214"/>
      <c r="U2" s="214"/>
      <c r="V2" s="157"/>
      <c r="W2" s="157"/>
      <c r="X2" s="157"/>
      <c r="AD2" s="157"/>
      <c r="AE2" s="157"/>
      <c r="AF2" s="157"/>
      <c r="AG2" s="157"/>
      <c r="AH2" s="157"/>
      <c r="AI2" s="157"/>
      <c r="AJ2" s="217"/>
      <c r="AK2" s="157"/>
      <c r="AL2" s="157"/>
      <c r="AM2" s="157"/>
      <c r="AN2" s="157"/>
    </row>
    <row r="3" spans="1:42" x14ac:dyDescent="0.2">
      <c r="A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157"/>
      <c r="Q3" s="157"/>
      <c r="R3" s="157"/>
      <c r="S3" s="157"/>
      <c r="T3" s="214"/>
      <c r="U3" s="214"/>
      <c r="V3" s="157"/>
      <c r="W3" s="157"/>
      <c r="X3" s="157"/>
      <c r="Y3" s="157"/>
      <c r="AE3" s="157"/>
      <c r="AG3" s="157"/>
      <c r="AH3" s="157"/>
      <c r="AI3" s="157"/>
      <c r="AJ3" s="157"/>
      <c r="AK3" s="157"/>
      <c r="AL3" s="157"/>
      <c r="AM3" s="157"/>
      <c r="AN3" s="157"/>
    </row>
    <row r="4" spans="1:42" x14ac:dyDescent="0.2">
      <c r="A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157"/>
      <c r="Q4" s="157"/>
      <c r="R4" s="157"/>
      <c r="S4" s="157"/>
      <c r="T4" s="157"/>
      <c r="U4" s="157"/>
      <c r="V4" s="157"/>
      <c r="W4" s="157"/>
      <c r="X4" s="157"/>
      <c r="Y4" s="157"/>
      <c r="AE4" s="214"/>
      <c r="AF4" s="214"/>
      <c r="AG4" s="214"/>
      <c r="AH4" s="205"/>
      <c r="AI4" s="214"/>
      <c r="AJ4" s="214"/>
      <c r="AK4" s="214"/>
      <c r="AL4" s="214"/>
      <c r="AM4" s="214"/>
      <c r="AN4" s="214"/>
      <c r="AO4" s="214"/>
      <c r="AP4" s="214"/>
    </row>
    <row r="5" spans="1:42" x14ac:dyDescent="0.2"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363" t="s">
        <v>231</v>
      </c>
      <c r="O5" s="253"/>
      <c r="P5" s="157"/>
      <c r="Q5" s="157"/>
      <c r="R5" s="157"/>
      <c r="S5" s="157"/>
      <c r="T5" s="157"/>
      <c r="U5" s="157"/>
      <c r="V5" s="157"/>
      <c r="W5" s="157"/>
      <c r="X5" s="157"/>
      <c r="Y5" s="157"/>
      <c r="AA5" s="157"/>
      <c r="AD5" s="360" t="s">
        <v>176</v>
      </c>
    </row>
    <row r="6" spans="1:42" hidden="1" x14ac:dyDescent="0.2">
      <c r="A6" s="188" t="s">
        <v>0</v>
      </c>
      <c r="B6" s="242"/>
      <c r="C6" s="243">
        <v>1</v>
      </c>
      <c r="D6" s="243">
        <v>2</v>
      </c>
      <c r="E6" s="243">
        <v>3</v>
      </c>
      <c r="F6" s="243"/>
      <c r="G6" s="243"/>
      <c r="H6" s="243" t="s">
        <v>130</v>
      </c>
      <c r="I6" s="161" t="s">
        <v>131</v>
      </c>
      <c r="J6" s="245" t="s">
        <v>199</v>
      </c>
      <c r="K6" s="246" t="s">
        <v>200</v>
      </c>
      <c r="L6" s="247" t="s">
        <v>201</v>
      </c>
      <c r="M6" s="247" t="s">
        <v>202</v>
      </c>
      <c r="N6" s="248" t="s">
        <v>132</v>
      </c>
      <c r="O6" s="248" t="s">
        <v>132</v>
      </c>
      <c r="P6" s="249" t="s">
        <v>203</v>
      </c>
      <c r="Q6" s="250" t="s">
        <v>21</v>
      </c>
      <c r="R6" s="250" t="b">
        <f>OR(AND(COUNTA(B7:B11)=3,COUNTA(C7:G11)=6),AND(COUNTA(B7:B11)=4,COUNTA(C7:G11)=12),AND(COUNTA(B7:B11)=5,COUNTA(C7:G11)=20))</f>
        <v>0</v>
      </c>
      <c r="S6" s="251" t="s">
        <v>204</v>
      </c>
      <c r="T6" s="252" t="s">
        <v>205</v>
      </c>
      <c r="U6" s="253"/>
      <c r="V6" s="253"/>
      <c r="W6" s="253"/>
      <c r="X6" s="253"/>
      <c r="Y6" s="253"/>
      <c r="Z6" s="253"/>
      <c r="AA6" s="254"/>
      <c r="AD6" s="158" t="s">
        <v>224</v>
      </c>
      <c r="AE6" s="159"/>
      <c r="AF6" s="159" t="s">
        <v>191</v>
      </c>
      <c r="AG6" s="159"/>
      <c r="AH6" s="209" t="s">
        <v>192</v>
      </c>
      <c r="AI6" s="159"/>
      <c r="AJ6" s="159" t="s">
        <v>193</v>
      </c>
      <c r="AK6" s="160"/>
      <c r="AL6" s="159" t="s">
        <v>194</v>
      </c>
      <c r="AM6" s="160"/>
      <c r="AN6" s="160" t="s">
        <v>229</v>
      </c>
      <c r="AO6" s="359"/>
      <c r="AP6" s="160" t="s">
        <v>230</v>
      </c>
    </row>
    <row r="7" spans="1:42" hidden="1" x14ac:dyDescent="0.2">
      <c r="A7" s="188">
        <v>1</v>
      </c>
      <c r="B7" s="255"/>
      <c r="C7" s="191"/>
      <c r="D7" s="190"/>
      <c r="E7" s="190"/>
      <c r="F7" s="190"/>
      <c r="G7" s="190"/>
      <c r="H7" s="189" t="str">
        <f>(IF(D7-C8&gt;0,1)+IF(E7-C9&gt;0,1)+IF(F7-C10&gt;0,1)+IF(G7-C11&gt;0,1))&amp;"-"&amp;(IF(D7-C8&lt;0,1)+IF(E7-C9&lt;0,1)+IF(F7-C10&lt;0,1)+IF(G7-C11&lt;0,1))</f>
        <v>0-0</v>
      </c>
      <c r="I7" s="190" t="str">
        <f>IF(AND(B7&lt;&gt;"",R$6=TRUE),A$6&amp;RANK(S7,S$7:S$11,0)," ")</f>
        <v xml:space="preserve"> </v>
      </c>
      <c r="J7" s="256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57">
        <f>SUM(AND(T7=T8,D7&gt;C8),AND(T7=T9,E7&gt;C9),AND(T7=T10,F7&gt;C10),AND(T7=T11,G7&gt;C11))</f>
        <v>0</v>
      </c>
      <c r="L7" s="258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59">
        <f>SUM(AND(R7=R8,D7&gt;C8),AND(R7=R9,E7&gt;C9),AND(R7=R10,F7&gt;C10),AND(R7=R11,G7&gt;C11))</f>
        <v>0</v>
      </c>
      <c r="N7" s="305" t="str">
        <f>SUM(C7:G7)&amp;"-"&amp;SUM(C7:C11)</f>
        <v>0-0</v>
      </c>
      <c r="O7" s="306">
        <f>D7+E7+F7+G7-C8-C9-C10-C11</f>
        <v>0</v>
      </c>
      <c r="P7" s="260" t="e">
        <f>SUM(C7:G7,C7:C11)/SUM(C7:C11)</f>
        <v>#DIV/0!</v>
      </c>
      <c r="Q7" s="192">
        <f>VALUE(LEFT(H7,1))</f>
        <v>0</v>
      </c>
      <c r="R7" s="193">
        <f>Q7*100000+J7*10000+K7*1000+100*L7</f>
        <v>0</v>
      </c>
      <c r="S7" s="261">
        <f>R7+M7*0.1+IF(ISNONTEXT(B7),0,0.01)+0.0001*O7</f>
        <v>0</v>
      </c>
      <c r="T7" s="262" t="str">
        <f>Q7&amp;J7</f>
        <v>00</v>
      </c>
      <c r="U7" s="253"/>
      <c r="V7" s="253"/>
      <c r="W7" s="253"/>
      <c r="X7" s="253"/>
      <c r="Y7" s="253"/>
      <c r="Z7" s="253"/>
      <c r="AA7" s="253"/>
      <c r="AD7" s="211">
        <f t="shared" ref="AD7:AD44" si="0">SUM(AE7:AP7)</f>
        <v>0</v>
      </c>
      <c r="AE7" s="212" t="str">
        <f>IFERROR(INDEX(V!$R:$R,MATCH(AF7,V!$L:$L,0)),"")</f>
        <v/>
      </c>
      <c r="AF7" s="213" t="str">
        <f>IFERROR(LEFT($B7,(FIND(",",$B7,1)-1)),"")</f>
        <v/>
      </c>
      <c r="AG7" s="212" t="str">
        <f>IFERROR(INDEX(V!$R:$R,MATCH(AH7,V!$L:$L,0)),"")</f>
        <v/>
      </c>
      <c r="AH7" s="213" t="str">
        <f>IFERROR(MID($B7,FIND(", ",$B7)+2,256),"")</f>
        <v/>
      </c>
      <c r="AI7" s="212" t="str">
        <f>IFERROR(INDEX(V!$R:$R,MATCH(AJ7,V!$L:$L,0)),"")</f>
        <v/>
      </c>
      <c r="AJ7" s="213" t="str">
        <f>IFERROR(MID($B7,FIND("^",SUBSTITUTE($B7,", ","^",1))+2,FIND("^",SUBSTITUTE($B7,", ","^",2))-FIND("^",SUBSTITUTE($B7,", ","^",1))-2),"")</f>
        <v/>
      </c>
      <c r="AK7" s="212" t="str">
        <f>IFERROR(INDEX(V!$R:$R,MATCH(AL7,V!$L:$L,0)),"")</f>
        <v/>
      </c>
      <c r="AL7" s="213" t="str">
        <f>IFERROR(MID($B7,FIND(", ",$B7,FIND(", ",$B7,FIND(", ",$B7))+1)+2,30000),"")</f>
        <v/>
      </c>
      <c r="AM7" s="212" t="str">
        <f>IFERROR(INDEX(V!$R:$R,MATCH(AN7,V!$L:$L,0)),"")</f>
        <v/>
      </c>
      <c r="AN7" s="213" t="str">
        <f>IFERROR(MID($B7,FIND(", ",$B7,FIND(", ",$B7)+1)+2,FIND(", ",$B7,FIND(", ",$B7,FIND(", ",$B7)+1)+1)-FIND(", ",$B7,FIND(", ",$B7)+1)-2),"")</f>
        <v/>
      </c>
      <c r="AO7" s="212" t="str">
        <f>IFERROR(INDEX(V!$R:$R,MATCH(AP7,V!$L:$L,0)),"")</f>
        <v/>
      </c>
      <c r="AP7" s="213" t="str">
        <f>IFERROR(MID($B7,FIND(", ",$B7,FIND(", ",$B7,FIND(", ",$B7)+1)+1)+2,30000),"")</f>
        <v/>
      </c>
    </row>
    <row r="8" spans="1:42" hidden="1" x14ac:dyDescent="0.2">
      <c r="A8" s="188">
        <v>2</v>
      </c>
      <c r="B8" s="263"/>
      <c r="C8" s="190"/>
      <c r="D8" s="191"/>
      <c r="E8" s="190"/>
      <c r="F8" s="190"/>
      <c r="G8" s="190"/>
      <c r="H8" s="189" t="str">
        <f>(IF(C8-D7&gt;0,1)+IF(E8-D9&gt;0,1)+IF(F8-D10&gt;0,1)+IF(G8-D11&gt;0,1))&amp;"-"&amp;(IF(C8-D7&lt;0,1)+IF(E8-D9&lt;0,1)+IF(F8-D10&lt;0,1)+IF(G8-D11&lt;0,1))</f>
        <v>0-0</v>
      </c>
      <c r="I8" s="190" t="str">
        <f>IF(AND(B8&lt;&gt;"",R$6=TRUE),A$6&amp;RANK(S8,S$7:S$11,0)," ")</f>
        <v xml:space="preserve"> </v>
      </c>
      <c r="J8" s="264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59">
        <f>SUM(AND(T8=T7,C8&gt;D7),AND(T8=T9,E8&gt;D9),AND(T8=T10,F8&gt;D10),AND(T8=T11,G8&gt;D11))</f>
        <v>0</v>
      </c>
      <c r="L8" s="265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59">
        <f>SUM(AND(R8=R7,C8&gt;D7),AND(R8=R9,E8&gt;D9),AND(R8=R10,F8&gt;D10),AND(R8=R11,G8&gt;D11))</f>
        <v>0</v>
      </c>
      <c r="N8" s="305" t="str">
        <f>SUM(C8:G8)&amp;"-"&amp;SUM(D7:D11)</f>
        <v>0-0</v>
      </c>
      <c r="O8" s="306">
        <f>C8+E8+F8+G8-D7-D9-D10-D11</f>
        <v>0</v>
      </c>
      <c r="P8" s="260" t="e">
        <f>SUM(C8:G8,D7:D11)/SUM(D7:D11)</f>
        <v>#DIV/0!</v>
      </c>
      <c r="Q8" s="266">
        <f>VALUE(LEFT(H8,1))</f>
        <v>0</v>
      </c>
      <c r="R8" s="193">
        <f>Q8*100000+J8*10000+K8*1000+100*L8</f>
        <v>0</v>
      </c>
      <c r="S8" s="261">
        <f>R8+M8*0.1+IF(ISNONTEXT(B8),0,0.01)+0.0001*O8</f>
        <v>0</v>
      </c>
      <c r="T8" s="262" t="str">
        <f>Q8&amp;J8</f>
        <v>00</v>
      </c>
      <c r="U8" s="253"/>
      <c r="V8" s="253"/>
      <c r="W8" s="253"/>
      <c r="X8" s="253"/>
      <c r="Y8" s="253"/>
      <c r="Z8" s="253"/>
      <c r="AA8" s="260"/>
      <c r="AD8" s="211">
        <f t="shared" si="0"/>
        <v>0</v>
      </c>
      <c r="AE8" s="212" t="str">
        <f>IFERROR(INDEX(V!$R:$R,MATCH(AF8,V!$L:$L,0)),"")</f>
        <v/>
      </c>
      <c r="AF8" s="213" t="str">
        <f t="shared" ref="AF8:AF44" si="1">IFERROR(LEFT($B8,(FIND(",",$B8,1)-1)),"")</f>
        <v/>
      </c>
      <c r="AG8" s="212" t="str">
        <f>IFERROR(INDEX(V!$R:$R,MATCH(AH8,V!$L:$L,0)),"")</f>
        <v/>
      </c>
      <c r="AH8" s="213" t="str">
        <f t="shared" ref="AH8:AH44" si="2">IFERROR(MID($B8,FIND(", ",$B8)+2,256),"")</f>
        <v/>
      </c>
      <c r="AI8" s="212" t="str">
        <f>IFERROR(INDEX(V!$R:$R,MATCH(AJ8,V!$L:$L,0)),"")</f>
        <v/>
      </c>
      <c r="AJ8" s="213" t="str">
        <f t="shared" ref="AJ8:AJ44" si="3">IFERROR(MID($B8,FIND("^",SUBSTITUTE($B8,", ","^",1))+2,FIND("^",SUBSTITUTE($B8,", ","^",2))-FIND("^",SUBSTITUTE($B8,", ","^",1))-2),"")</f>
        <v/>
      </c>
      <c r="AK8" s="212" t="str">
        <f>IFERROR(INDEX(V!$R:$R,MATCH(AL8,V!$L:$L,0)),"")</f>
        <v/>
      </c>
      <c r="AL8" s="213" t="str">
        <f t="shared" ref="AL8:AL44" si="4">IFERROR(MID($B8,FIND(", ",$B8,FIND(", ",$B8,FIND(", ",$B8))+1)+2,30000),"")</f>
        <v/>
      </c>
      <c r="AM8" s="212" t="str">
        <f>IFERROR(INDEX(V!$R:$R,MATCH(AN8,V!$L:$L,0)),"")</f>
        <v/>
      </c>
      <c r="AN8" s="213" t="str">
        <f t="shared" ref="AN8:AN44" si="5">IFERROR(MID($B8,FIND(", ",$B8,FIND(", ",$B8)+1)+2,FIND(", ",$B8,FIND(", ",$B8,FIND(", ",$B8)+1)+1)-FIND(", ",$B8,FIND(", ",$B8)+1)-2),"")</f>
        <v/>
      </c>
      <c r="AO8" s="212" t="str">
        <f>IFERROR(INDEX(V!$R:$R,MATCH(AP8,V!$L:$L,0)),"")</f>
        <v/>
      </c>
      <c r="AP8" s="213" t="str">
        <f t="shared" ref="AP8:AP44" si="6">IFERROR(MID($B8,FIND(", ",$B8,FIND(", ",$B8,FIND(", ",$B8)+1)+1)+2,30000),"")</f>
        <v/>
      </c>
    </row>
    <row r="9" spans="1:42" hidden="1" x14ac:dyDescent="0.2">
      <c r="A9" s="188">
        <v>3</v>
      </c>
      <c r="B9" s="263"/>
      <c r="C9" s="190"/>
      <c r="D9" s="267"/>
      <c r="E9" s="191"/>
      <c r="F9" s="190"/>
      <c r="G9" s="190"/>
      <c r="H9" s="189" t="str">
        <f>(IF(C9-E7&gt;0,1)+IF(D9-E8&gt;0,1)+IF(F9-E10&gt;0,1)+IF(G9-E11&gt;0,1))&amp;"-"&amp;(IF(C9-E7&lt;0,1)+IF(D9-E8&lt;0,1)+IF(F9-E10&lt;0,1)+IF(G9-E11&lt;0,1))</f>
        <v>0-0</v>
      </c>
      <c r="I9" s="190" t="str">
        <f>IF(AND(B9&lt;&gt;"",R$6=TRUE),A$6&amp;RANK(S9,S$7:S$11,0)," ")</f>
        <v xml:space="preserve"> </v>
      </c>
      <c r="J9" s="264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59">
        <f>SUM(AND(T9=T7,C9&gt;E7),AND(T9=T8,D9&gt;E8),AND(T9=T10,F9&gt;E10),AND(T9=T11,G9&gt;E11))</f>
        <v>0</v>
      </c>
      <c r="L9" s="265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59">
        <f>SUM(AND(R9=R7,C9&gt;E7),AND(R9=R8,D9&gt;E8),AND(R9=R10,F9&gt;E10),AND(R9=R11,G9&gt;E11))</f>
        <v>0</v>
      </c>
      <c r="N9" s="305" t="str">
        <f>SUM(C9:G9)&amp;"-"&amp;SUM(E7:E11)</f>
        <v>0-0</v>
      </c>
      <c r="O9" s="306">
        <f>C9+D9+F9+G9-E7-E8-E10-E11</f>
        <v>0</v>
      </c>
      <c r="P9" s="260" t="e">
        <f>SUM(C9:G9,E7:E11)/SUM(E7:E11)</f>
        <v>#DIV/0!</v>
      </c>
      <c r="Q9" s="266">
        <f>VALUE(LEFT(H9,1))</f>
        <v>0</v>
      </c>
      <c r="R9" s="193">
        <f>Q9*100000+J9*10000+K9*1000+100*L9</f>
        <v>0</v>
      </c>
      <c r="S9" s="261">
        <f>R9+M9*0.1+IF(ISNONTEXT(B9),0,0.01)+0.0001*O9</f>
        <v>0</v>
      </c>
      <c r="T9" s="262" t="str">
        <f>Q9&amp;J9</f>
        <v>00</v>
      </c>
      <c r="U9" s="253"/>
      <c r="V9" s="253"/>
      <c r="W9" s="253"/>
      <c r="X9" s="253"/>
      <c r="Y9" s="253"/>
      <c r="Z9" s="253"/>
      <c r="AA9" s="260"/>
      <c r="AD9" s="211">
        <f t="shared" si="0"/>
        <v>0</v>
      </c>
      <c r="AE9" s="212" t="str">
        <f>IFERROR(INDEX(V!$R:$R,MATCH(AF9,V!$L:$L,0)),"")</f>
        <v/>
      </c>
      <c r="AF9" s="213" t="str">
        <f t="shared" si="1"/>
        <v/>
      </c>
      <c r="AG9" s="212" t="str">
        <f>IFERROR(INDEX(V!$R:$R,MATCH(AH9,V!$L:$L,0)),"")</f>
        <v/>
      </c>
      <c r="AH9" s="213" t="str">
        <f t="shared" si="2"/>
        <v/>
      </c>
      <c r="AI9" s="212" t="str">
        <f>IFERROR(INDEX(V!$R:$R,MATCH(AJ9,V!$L:$L,0)),"")</f>
        <v/>
      </c>
      <c r="AJ9" s="213" t="str">
        <f t="shared" si="3"/>
        <v/>
      </c>
      <c r="AK9" s="212" t="str">
        <f>IFERROR(INDEX(V!$R:$R,MATCH(AL9,V!$L:$L,0)),"")</f>
        <v/>
      </c>
      <c r="AL9" s="213" t="str">
        <f t="shared" si="4"/>
        <v/>
      </c>
      <c r="AM9" s="212" t="str">
        <f>IFERROR(INDEX(V!$R:$R,MATCH(AN9,V!$L:$L,0)),"")</f>
        <v/>
      </c>
      <c r="AN9" s="213" t="str">
        <f t="shared" si="5"/>
        <v/>
      </c>
      <c r="AO9" s="212" t="str">
        <f>IFERROR(INDEX(V!$R:$R,MATCH(AP9,V!$L:$L,0)),"")</f>
        <v/>
      </c>
      <c r="AP9" s="213" t="str">
        <f t="shared" si="6"/>
        <v/>
      </c>
    </row>
    <row r="10" spans="1:42" hidden="1" x14ac:dyDescent="0.2">
      <c r="A10" s="188">
        <v>4</v>
      </c>
      <c r="B10" s="268"/>
      <c r="C10" s="190"/>
      <c r="D10" s="267"/>
      <c r="E10" s="190"/>
      <c r="F10" s="191"/>
      <c r="G10" s="190"/>
      <c r="H10" s="189" t="str">
        <f>(IF(C10-F7&gt;0,1)+IF(D10-F8&gt;0,1)+IF(E10-F9&gt;0,1)+IF(G10-F11&gt;0,1))&amp;"-"&amp;(IF(C10-F7&lt;0,1)+IF(D10-F8&lt;0,1)+IF(E10-F9&lt;0,1)+IF(G10-F11&lt;0,1))</f>
        <v>0-0</v>
      </c>
      <c r="I10" s="190" t="str">
        <f>IF(AND(B10&lt;&gt;"",R$6=TRUE),A$6&amp;RANK(S10,S$7:S$11,0)," ")</f>
        <v xml:space="preserve"> </v>
      </c>
      <c r="J10" s="264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59">
        <f>SUM(AND(T10=T7,C10&gt;F7),AND(T10=T8,D10&gt;F8),AND(T10=T9,E10&gt;F9),AND(T10=T11,G10&gt;F11))</f>
        <v>0</v>
      </c>
      <c r="L10" s="265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59">
        <f>SUM(AND(R10=R7,C10&gt;F7),AND(R10=R8,D10&gt;F8),AND(R10=R9,E10&gt;F9),AND(R10=R11,G10&gt;F11))</f>
        <v>0</v>
      </c>
      <c r="N10" s="305" t="str">
        <f>SUM(C10:G10)&amp;"-"&amp;SUM(F7:F11)</f>
        <v>0-0</v>
      </c>
      <c r="O10" s="306">
        <f>C10+D10+E10+G10-F7-F8-F9-F11</f>
        <v>0</v>
      </c>
      <c r="P10" s="260" t="e">
        <f>SUM(C10:G10,F7:F11)/SUM(F7:F11)</f>
        <v>#DIV/0!</v>
      </c>
      <c r="Q10" s="266">
        <f>VALUE(LEFT(H10,1))</f>
        <v>0</v>
      </c>
      <c r="R10" s="193">
        <f>Q10*100000+J10*10000+K10*1000+100*L10</f>
        <v>0</v>
      </c>
      <c r="S10" s="261">
        <f>R10+M10*0.1+IF(ISNONTEXT(B10),0,0.01)+0.0001*O10</f>
        <v>0</v>
      </c>
      <c r="T10" s="262" t="str">
        <f>Q10&amp;J10</f>
        <v>00</v>
      </c>
      <c r="U10" s="253"/>
      <c r="V10" s="253"/>
      <c r="W10" s="253"/>
      <c r="X10" s="253"/>
      <c r="Y10" s="253"/>
      <c r="Z10" s="253"/>
      <c r="AA10" s="260"/>
      <c r="AD10" s="211">
        <f t="shared" si="0"/>
        <v>0</v>
      </c>
      <c r="AE10" s="212" t="str">
        <f>IFERROR(INDEX(V!$R:$R,MATCH(AF10,V!$L:$L,0)),"")</f>
        <v/>
      </c>
      <c r="AF10" s="213" t="str">
        <f t="shared" si="1"/>
        <v/>
      </c>
      <c r="AG10" s="212" t="str">
        <f>IFERROR(INDEX(V!$R:$R,MATCH(AH10,V!$L:$L,0)),"")</f>
        <v/>
      </c>
      <c r="AH10" s="213" t="str">
        <f t="shared" si="2"/>
        <v/>
      </c>
      <c r="AI10" s="212" t="str">
        <f>IFERROR(INDEX(V!$R:$R,MATCH(AJ10,V!$L:$L,0)),"")</f>
        <v/>
      </c>
      <c r="AJ10" s="213" t="str">
        <f t="shared" si="3"/>
        <v/>
      </c>
      <c r="AK10" s="212" t="str">
        <f>IFERROR(INDEX(V!$R:$R,MATCH(AL10,V!$L:$L,0)),"")</f>
        <v/>
      </c>
      <c r="AL10" s="213" t="str">
        <f t="shared" si="4"/>
        <v/>
      </c>
      <c r="AM10" s="212" t="str">
        <f>IFERROR(INDEX(V!$R:$R,MATCH(AN10,V!$L:$L,0)),"")</f>
        <v/>
      </c>
      <c r="AN10" s="213" t="str">
        <f t="shared" si="5"/>
        <v/>
      </c>
      <c r="AO10" s="212" t="str">
        <f>IFERROR(INDEX(V!$R:$R,MATCH(AP10,V!$L:$L,0)),"")</f>
        <v/>
      </c>
      <c r="AP10" s="213" t="str">
        <f t="shared" si="6"/>
        <v/>
      </c>
    </row>
    <row r="11" spans="1:42" hidden="1" x14ac:dyDescent="0.2">
      <c r="A11" s="188">
        <v>5</v>
      </c>
      <c r="B11" s="268"/>
      <c r="C11" s="190"/>
      <c r="D11" s="190"/>
      <c r="E11" s="190"/>
      <c r="F11" s="190"/>
      <c r="G11" s="191"/>
      <c r="H11" s="189" t="str">
        <f>(IF(C11-G7&gt;0,1)+IF(D11-G8&gt;0,1)+IF(E11-G9&gt;0,1)+IF(F11-G10&gt;0,1))&amp;"-"&amp;(IF(C11-G7&lt;0,1)+IF(D11-G8&lt;0,1)+IF(E11-G9&lt;0,1)+IF(F11-G10&lt;0,1))</f>
        <v>0-0</v>
      </c>
      <c r="I11" s="190" t="str">
        <f>IF(AND(B11&lt;&gt;"",R$6=TRUE),A$6&amp;RANK(S11,S$7:S$11,0)," ")</f>
        <v xml:space="preserve"> </v>
      </c>
      <c r="J11" s="264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59">
        <f>SUM(AND(T11=T7,C11&gt;G7),AND(T11=T8,D11&gt;G8),AND(T11=T9,E11&gt;G9),AND(T11=T10,F11&gt;G10))</f>
        <v>0</v>
      </c>
      <c r="L11" s="265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59">
        <f>SUM(AND(R11=R7,C11&gt;G7),AND(R11=R8,D11&gt;G8),AND(R11=R9,E11&gt;G9),AND(R11=R10,F11&gt;G10))</f>
        <v>0</v>
      </c>
      <c r="N11" s="305" t="str">
        <f>SUM(C11:G11)&amp;"-"&amp;SUM(G7:G11)</f>
        <v>0-0</v>
      </c>
      <c r="O11" s="306">
        <f>C11+D11+E11+F11-G7-G8-G9-G10</f>
        <v>0</v>
      </c>
      <c r="P11" s="260" t="e">
        <f>SUM(C11:G11,G7:G11)/SUM(G7:G11)</f>
        <v>#DIV/0!</v>
      </c>
      <c r="Q11" s="266">
        <f>VALUE(LEFT(H11,1))</f>
        <v>0</v>
      </c>
      <c r="R11" s="193">
        <f>Q11*100000+J11*10000+K11*1000+100*L11</f>
        <v>0</v>
      </c>
      <c r="S11" s="261">
        <f>R11+M11*0.1+IF(ISNONTEXT(B11),0,0.01)+0.0001*O11</f>
        <v>0</v>
      </c>
      <c r="T11" s="262" t="str">
        <f>Q11&amp;J11</f>
        <v>00</v>
      </c>
      <c r="U11" s="253"/>
      <c r="V11" s="253"/>
      <c r="W11" s="253"/>
      <c r="X11" s="253"/>
      <c r="Y11" s="253"/>
      <c r="Z11" s="253"/>
      <c r="AA11" s="260"/>
      <c r="AD11" s="211">
        <f t="shared" si="0"/>
        <v>0</v>
      </c>
      <c r="AE11" s="212" t="str">
        <f>IFERROR(INDEX(V!$R:$R,MATCH(AF11,V!$L:$L,0)),"")</f>
        <v/>
      </c>
      <c r="AF11" s="213" t="str">
        <f t="shared" si="1"/>
        <v/>
      </c>
      <c r="AG11" s="212" t="str">
        <f>IFERROR(INDEX(V!$R:$R,MATCH(AH11,V!$L:$L,0)),"")</f>
        <v/>
      </c>
      <c r="AH11" s="213" t="str">
        <f t="shared" si="2"/>
        <v/>
      </c>
      <c r="AI11" s="212" t="str">
        <f>IFERROR(INDEX(V!$R:$R,MATCH(AJ11,V!$L:$L,0)),"")</f>
        <v/>
      </c>
      <c r="AJ11" s="213" t="str">
        <f t="shared" si="3"/>
        <v/>
      </c>
      <c r="AK11" s="212" t="str">
        <f>IFERROR(INDEX(V!$R:$R,MATCH(AL11,V!$L:$L,0)),"")</f>
        <v/>
      </c>
      <c r="AL11" s="213" t="str">
        <f t="shared" si="4"/>
        <v/>
      </c>
      <c r="AM11" s="212" t="str">
        <f>IFERROR(INDEX(V!$R:$R,MATCH(AN11,V!$L:$L,0)),"")</f>
        <v/>
      </c>
      <c r="AN11" s="213" t="str">
        <f t="shared" si="5"/>
        <v/>
      </c>
      <c r="AO11" s="212" t="str">
        <f>IFERROR(INDEX(V!$R:$R,MATCH(AP11,V!$L:$L,0)),"")</f>
        <v/>
      </c>
      <c r="AP11" s="213" t="str">
        <f t="shared" si="6"/>
        <v/>
      </c>
    </row>
    <row r="12" spans="1:42" hidden="1" x14ac:dyDescent="0.2">
      <c r="A12" s="269"/>
      <c r="B12" s="270"/>
      <c r="C12" s="271"/>
      <c r="D12" s="272"/>
      <c r="E12" s="273"/>
      <c r="F12" s="273"/>
      <c r="G12" s="274"/>
      <c r="H12" s="275"/>
      <c r="I12" s="276"/>
      <c r="J12" s="253"/>
      <c r="K12" s="253"/>
      <c r="L12" s="253"/>
      <c r="M12" s="253"/>
      <c r="N12" s="307"/>
      <c r="O12" s="307"/>
      <c r="P12" s="253"/>
      <c r="Q12" s="253"/>
      <c r="R12" s="277" t="s">
        <v>206</v>
      </c>
      <c r="S12" s="253"/>
      <c r="T12" s="253"/>
      <c r="U12" s="253"/>
      <c r="V12" s="253"/>
      <c r="W12" s="253"/>
      <c r="X12" s="253"/>
      <c r="Y12" s="253"/>
      <c r="Z12" s="253"/>
      <c r="AA12" s="260"/>
      <c r="AD12" s="211">
        <f t="shared" si="0"/>
        <v>0</v>
      </c>
      <c r="AE12" s="212" t="str">
        <f>IFERROR(INDEX(V!$R:$R,MATCH(AF12,V!$L:$L,0)),"")</f>
        <v/>
      </c>
      <c r="AF12" s="213" t="str">
        <f t="shared" si="1"/>
        <v/>
      </c>
      <c r="AG12" s="212" t="str">
        <f>IFERROR(INDEX(V!$R:$R,MATCH(AH12,V!$L:$L,0)),"")</f>
        <v/>
      </c>
      <c r="AH12" s="213" t="str">
        <f t="shared" si="2"/>
        <v/>
      </c>
      <c r="AI12" s="212" t="str">
        <f>IFERROR(INDEX(V!$R:$R,MATCH(AJ12,V!$L:$L,0)),"")</f>
        <v/>
      </c>
      <c r="AJ12" s="213" t="str">
        <f t="shared" si="3"/>
        <v/>
      </c>
      <c r="AK12" s="212" t="str">
        <f>IFERROR(INDEX(V!$R:$R,MATCH(AL12,V!$L:$L,0)),"")</f>
        <v/>
      </c>
      <c r="AL12" s="213" t="str">
        <f t="shared" si="4"/>
        <v/>
      </c>
      <c r="AM12" s="212" t="str">
        <f>IFERROR(INDEX(V!$R:$R,MATCH(AN12,V!$L:$L,0)),"")</f>
        <v/>
      </c>
      <c r="AN12" s="213" t="str">
        <f t="shared" si="5"/>
        <v/>
      </c>
      <c r="AO12" s="212" t="str">
        <f>IFERROR(INDEX(V!$R:$R,MATCH(AP12,V!$L:$L,0)),"")</f>
        <v/>
      </c>
      <c r="AP12" s="213" t="str">
        <f t="shared" si="6"/>
        <v/>
      </c>
    </row>
    <row r="13" spans="1:42" hidden="1" x14ac:dyDescent="0.2">
      <c r="A13" s="188" t="s">
        <v>1</v>
      </c>
      <c r="B13" s="278"/>
      <c r="C13" s="243">
        <v>1</v>
      </c>
      <c r="D13" s="243">
        <v>2</v>
      </c>
      <c r="E13" s="243">
        <v>3</v>
      </c>
      <c r="F13" s="243"/>
      <c r="G13" s="243"/>
      <c r="H13" s="244" t="s">
        <v>130</v>
      </c>
      <c r="I13" s="244" t="s">
        <v>131</v>
      </c>
      <c r="J13" s="279" t="s">
        <v>199</v>
      </c>
      <c r="K13" s="280" t="s">
        <v>200</v>
      </c>
      <c r="L13" s="281" t="s">
        <v>201</v>
      </c>
      <c r="M13" s="281" t="s">
        <v>202</v>
      </c>
      <c r="N13" s="248" t="s">
        <v>132</v>
      </c>
      <c r="O13" s="248" t="s">
        <v>132</v>
      </c>
      <c r="P13" s="249" t="s">
        <v>203</v>
      </c>
      <c r="Q13" s="282" t="s">
        <v>21</v>
      </c>
      <c r="R13" s="282" t="b">
        <f>OR(AND(COUNTA(B14:B18)=3,COUNTA(C14:G18)=6),AND(COUNTA(B14:B18)=4,COUNTA(C14:G18)=12),AND(COUNTA(B14:B18)=5,COUNTA(C14:G18)=20))</f>
        <v>0</v>
      </c>
      <c r="S13" s="283" t="s">
        <v>204</v>
      </c>
      <c r="T13" s="284" t="s">
        <v>205</v>
      </c>
      <c r="U13" s="253"/>
      <c r="V13" s="253"/>
      <c r="W13" s="253"/>
      <c r="X13" s="253"/>
      <c r="Y13" s="253"/>
      <c r="Z13" s="253"/>
      <c r="AA13" s="260"/>
      <c r="AD13" s="211">
        <f t="shared" si="0"/>
        <v>0</v>
      </c>
      <c r="AE13" s="212" t="str">
        <f>IFERROR(INDEX(V!$R:$R,MATCH(AF13,V!$L:$L,0)),"")</f>
        <v/>
      </c>
      <c r="AF13" s="213" t="str">
        <f t="shared" si="1"/>
        <v/>
      </c>
      <c r="AG13" s="212" t="str">
        <f>IFERROR(INDEX(V!$R:$R,MATCH(AH13,V!$L:$L,0)),"")</f>
        <v/>
      </c>
      <c r="AH13" s="213" t="str">
        <f t="shared" si="2"/>
        <v/>
      </c>
      <c r="AI13" s="212" t="str">
        <f>IFERROR(INDEX(V!$R:$R,MATCH(AJ13,V!$L:$L,0)),"")</f>
        <v/>
      </c>
      <c r="AJ13" s="213" t="str">
        <f t="shared" si="3"/>
        <v/>
      </c>
      <c r="AK13" s="212" t="str">
        <f>IFERROR(INDEX(V!$R:$R,MATCH(AL13,V!$L:$L,0)),"")</f>
        <v/>
      </c>
      <c r="AL13" s="213" t="str">
        <f t="shared" si="4"/>
        <v/>
      </c>
      <c r="AM13" s="212" t="str">
        <f>IFERROR(INDEX(V!$R:$R,MATCH(AN13,V!$L:$L,0)),"")</f>
        <v/>
      </c>
      <c r="AN13" s="213" t="str">
        <f t="shared" si="5"/>
        <v/>
      </c>
      <c r="AO13" s="212" t="str">
        <f>IFERROR(INDEX(V!$R:$R,MATCH(AP13,V!$L:$L,0)),"")</f>
        <v/>
      </c>
      <c r="AP13" s="213" t="str">
        <f t="shared" si="6"/>
        <v/>
      </c>
    </row>
    <row r="14" spans="1:42" hidden="1" x14ac:dyDescent="0.2">
      <c r="A14" s="188">
        <v>1</v>
      </c>
      <c r="B14" s="285"/>
      <c r="C14" s="191"/>
      <c r="D14" s="190"/>
      <c r="E14" s="190"/>
      <c r="F14" s="190"/>
      <c r="G14" s="190"/>
      <c r="H14" s="189" t="str">
        <f>(IF(D14-C15&gt;0,1)+IF(E14-C16&gt;0,1)+IF(F14-C17&gt;0,1)+IF(G14-C18&gt;0,1))&amp;"-"&amp;(IF(D14-C15&lt;0,1)+IF(E14-C16&lt;0,1)+IF(F14-C17&lt;0,1)+IF(G14-C18&lt;0,1))</f>
        <v>0-0</v>
      </c>
      <c r="I14" s="190" t="str">
        <f>IF(AND(B14&lt;&gt;"",R$6=TRUE),A$13&amp;RANK(S14,S$14:S$18,0)," ")</f>
        <v xml:space="preserve"> </v>
      </c>
      <c r="J14" s="256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57">
        <f>SUM(AND(T14=T15,D14&gt;C15),AND(T14=T16,E14&gt;C16),AND(T14=T17,F14&gt;C17),AND(T14=T18,G14&gt;C18))</f>
        <v>0</v>
      </c>
      <c r="L14" s="258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259">
        <f>SUM(AND(R14=R15,D14&gt;C15),AND(R14=R16,E14&gt;C16),AND(R14=R17,F14&gt;C17),AND(R14=R18,G14&gt;C18))</f>
        <v>0</v>
      </c>
      <c r="N14" s="305" t="str">
        <f>SUM(C14:G14)&amp;"-"&amp;SUM(C14:C18)</f>
        <v>0-0</v>
      </c>
      <c r="O14" s="306">
        <f>D14+E14+F14+G14-C15-C16-C17-C18</f>
        <v>0</v>
      </c>
      <c r="P14" s="260" t="e">
        <f>SUM(C14:G14,C14:C18)/SUM(C14:C18)</f>
        <v>#DIV/0!</v>
      </c>
      <c r="Q14" s="192">
        <f>VALUE(LEFT(H14,1))</f>
        <v>0</v>
      </c>
      <c r="R14" s="193">
        <f>Q14*100000+J14*10000+K14*1000+100*L14</f>
        <v>0</v>
      </c>
      <c r="S14" s="261">
        <f>R14+M14*0.1+IF(ISNONTEXT(B14),0,0.01)+0.0001*O14</f>
        <v>0</v>
      </c>
      <c r="T14" s="262" t="str">
        <f>Q14&amp;J14</f>
        <v>00</v>
      </c>
      <c r="U14" s="253"/>
      <c r="V14" s="253"/>
      <c r="W14" s="253"/>
      <c r="X14" s="253"/>
      <c r="Y14" s="253"/>
      <c r="Z14" s="253"/>
      <c r="AA14" s="260"/>
      <c r="AD14" s="211">
        <f t="shared" si="0"/>
        <v>0</v>
      </c>
      <c r="AE14" s="212" t="str">
        <f>IFERROR(INDEX(V!$R:$R,MATCH(AF14,V!$L:$L,0)),"")</f>
        <v/>
      </c>
      <c r="AF14" s="213" t="str">
        <f t="shared" si="1"/>
        <v/>
      </c>
      <c r="AG14" s="212" t="str">
        <f>IFERROR(INDEX(V!$R:$R,MATCH(AH14,V!$L:$L,0)),"")</f>
        <v/>
      </c>
      <c r="AH14" s="213" t="str">
        <f t="shared" si="2"/>
        <v/>
      </c>
      <c r="AI14" s="212" t="str">
        <f>IFERROR(INDEX(V!$R:$R,MATCH(AJ14,V!$L:$L,0)),"")</f>
        <v/>
      </c>
      <c r="AJ14" s="213" t="str">
        <f t="shared" si="3"/>
        <v/>
      </c>
      <c r="AK14" s="212" t="str">
        <f>IFERROR(INDEX(V!$R:$R,MATCH(AL14,V!$L:$L,0)),"")</f>
        <v/>
      </c>
      <c r="AL14" s="213" t="str">
        <f t="shared" si="4"/>
        <v/>
      </c>
      <c r="AM14" s="212" t="str">
        <f>IFERROR(INDEX(V!$R:$R,MATCH(AN14,V!$L:$L,0)),"")</f>
        <v/>
      </c>
      <c r="AN14" s="213" t="str">
        <f t="shared" si="5"/>
        <v/>
      </c>
      <c r="AO14" s="212" t="str">
        <f>IFERROR(INDEX(V!$R:$R,MATCH(AP14,V!$L:$L,0)),"")</f>
        <v/>
      </c>
      <c r="AP14" s="213" t="str">
        <f t="shared" si="6"/>
        <v/>
      </c>
    </row>
    <row r="15" spans="1:42" hidden="1" x14ac:dyDescent="0.2">
      <c r="A15" s="188">
        <v>2</v>
      </c>
      <c r="B15" s="255"/>
      <c r="C15" s="190"/>
      <c r="D15" s="191"/>
      <c r="E15" s="190"/>
      <c r="F15" s="190"/>
      <c r="G15" s="190"/>
      <c r="H15" s="189" t="str">
        <f>(IF(C15-D14&gt;0,1)+IF(E15-D16&gt;0,1)+IF(F15-D17&gt;0,1)+IF(G15-D18&gt;0,1))&amp;"-"&amp;(IF(C15-D14&lt;0,1)+IF(E15-D16&lt;0,1)+IF(F15-D17&lt;0,1)+IF(G15-D18&lt;0,1))</f>
        <v>0-0</v>
      </c>
      <c r="I15" s="190" t="str">
        <f>IF(AND(B15&lt;&gt;"",R$6=TRUE),A$13&amp;RANK(S15,S$14:S$18,0)," ")</f>
        <v xml:space="preserve"> </v>
      </c>
      <c r="J15" s="264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259">
        <f>SUM(AND(T15=T14,C15&gt;D14),AND(T15=T16,E15&gt;D16),AND(T15=T17,F15&gt;D17),AND(T15=T18,G15&gt;D18))</f>
        <v>0</v>
      </c>
      <c r="L15" s="265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259">
        <f>SUM(AND(R15=R14,C15&gt;D14),AND(R15=R16,E15&gt;D16),AND(R15=R17,F15&gt;D17),AND(R15=R18,G15&gt;D18))</f>
        <v>0</v>
      </c>
      <c r="N15" s="305" t="str">
        <f>SUM(C15:G15)&amp;"-"&amp;SUM(D14:D18)</f>
        <v>0-0</v>
      </c>
      <c r="O15" s="306">
        <f>C15+E15+F15+G15-D14-D16-D17-D18</f>
        <v>0</v>
      </c>
      <c r="P15" s="260" t="e">
        <f>SUM(C15:G15,D14:D18)/SUM(D14:D18)</f>
        <v>#DIV/0!</v>
      </c>
      <c r="Q15" s="266">
        <f>VALUE(LEFT(H15,1))</f>
        <v>0</v>
      </c>
      <c r="R15" s="193">
        <f>Q15*100000+J15*10000+K15*1000+100*L15</f>
        <v>0</v>
      </c>
      <c r="S15" s="261">
        <f>R15+M15*0.1+IF(ISNONTEXT(B15),0,0.01)+0.0001*O15</f>
        <v>0</v>
      </c>
      <c r="T15" s="262" t="str">
        <f>Q15&amp;J15</f>
        <v>00</v>
      </c>
      <c r="U15" s="253"/>
      <c r="V15" s="253"/>
      <c r="W15" s="253"/>
      <c r="X15" s="253"/>
      <c r="Y15" s="253"/>
      <c r="Z15" s="253"/>
      <c r="AA15" s="260"/>
      <c r="AD15" s="211">
        <f t="shared" si="0"/>
        <v>0</v>
      </c>
      <c r="AE15" s="212" t="str">
        <f>IFERROR(INDEX(V!$R:$R,MATCH(AF15,V!$L:$L,0)),"")</f>
        <v/>
      </c>
      <c r="AF15" s="213" t="str">
        <f t="shared" si="1"/>
        <v/>
      </c>
      <c r="AG15" s="212" t="str">
        <f>IFERROR(INDEX(V!$R:$R,MATCH(AH15,V!$L:$L,0)),"")</f>
        <v/>
      </c>
      <c r="AH15" s="213" t="str">
        <f t="shared" si="2"/>
        <v/>
      </c>
      <c r="AI15" s="212" t="str">
        <f>IFERROR(INDEX(V!$R:$R,MATCH(AJ15,V!$L:$L,0)),"")</f>
        <v/>
      </c>
      <c r="AJ15" s="213" t="str">
        <f t="shared" si="3"/>
        <v/>
      </c>
      <c r="AK15" s="212" t="str">
        <f>IFERROR(INDEX(V!$R:$R,MATCH(AL15,V!$L:$L,0)),"")</f>
        <v/>
      </c>
      <c r="AL15" s="213" t="str">
        <f t="shared" si="4"/>
        <v/>
      </c>
      <c r="AM15" s="212" t="str">
        <f>IFERROR(INDEX(V!$R:$R,MATCH(AN15,V!$L:$L,0)),"")</f>
        <v/>
      </c>
      <c r="AN15" s="213" t="str">
        <f t="shared" si="5"/>
        <v/>
      </c>
      <c r="AO15" s="212" t="str">
        <f>IFERROR(INDEX(V!$R:$R,MATCH(AP15,V!$L:$L,0)),"")</f>
        <v/>
      </c>
      <c r="AP15" s="213" t="str">
        <f t="shared" si="6"/>
        <v/>
      </c>
    </row>
    <row r="16" spans="1:42" hidden="1" x14ac:dyDescent="0.2">
      <c r="A16" s="188">
        <v>3</v>
      </c>
      <c r="B16" s="263"/>
      <c r="C16" s="190"/>
      <c r="D16" s="267"/>
      <c r="E16" s="191"/>
      <c r="F16" s="190"/>
      <c r="G16" s="190"/>
      <c r="H16" s="189" t="str">
        <f>(IF(C16-E14&gt;0,1)+IF(D16-E15&gt;0,1)+IF(F16-E17&gt;0,1)+IF(G16-E18&gt;0,1))&amp;"-"&amp;(IF(C16-E14&lt;0,1)+IF(D16-E15&lt;0,1)+IF(F16-E17&lt;0,1)+IF(G16-E18&lt;0,1))</f>
        <v>0-0</v>
      </c>
      <c r="I16" s="190" t="str">
        <f>IF(AND(B16&lt;&gt;"",R$6=TRUE),A$13&amp;RANK(S16,S$14:S$18,0)," ")</f>
        <v xml:space="preserve"> </v>
      </c>
      <c r="J16" s="264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59">
        <f>SUM(AND(T16=T14,C16&gt;E14),AND(T16=T15,D16&gt;E15),AND(T16=T17,F16&gt;E17),AND(T16=T18,G16&gt;E18))</f>
        <v>0</v>
      </c>
      <c r="L16" s="265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259">
        <f>SUM(AND(R16=R14,C16&gt;E14),AND(R16=R15,D16&gt;E15),AND(R16=R17,F16&gt;E17),AND(R16=R18,G16&gt;E18))</f>
        <v>0</v>
      </c>
      <c r="N16" s="305" t="str">
        <f>SUM(C16:G16)&amp;"-"&amp;SUM(E14:E18)</f>
        <v>0-0</v>
      </c>
      <c r="O16" s="306">
        <f>C16+D16+F16+G16-E14-E15-E17-E18</f>
        <v>0</v>
      </c>
      <c r="P16" s="260" t="e">
        <f>SUM(C16:G16,E14:E18)/SUM(E14:E18)</f>
        <v>#DIV/0!</v>
      </c>
      <c r="Q16" s="266">
        <f>VALUE(LEFT(H16,1))</f>
        <v>0</v>
      </c>
      <c r="R16" s="193">
        <f>Q16*100000+J16*10000+K16*1000+100*L16</f>
        <v>0</v>
      </c>
      <c r="S16" s="261">
        <f>R16+M16*0.1+IF(ISNONTEXT(B16),0,0.01)+0.0001*O16</f>
        <v>0</v>
      </c>
      <c r="T16" s="262" t="str">
        <f>Q16&amp;J16</f>
        <v>00</v>
      </c>
      <c r="U16" s="253"/>
      <c r="V16" s="253"/>
      <c r="W16" s="253"/>
      <c r="X16" s="253"/>
      <c r="Y16" s="253"/>
      <c r="Z16" s="253"/>
      <c r="AA16" s="260"/>
      <c r="AD16" s="211">
        <f t="shared" si="0"/>
        <v>0</v>
      </c>
      <c r="AE16" s="212" t="str">
        <f>IFERROR(INDEX(V!$R:$R,MATCH(AF16,V!$L:$L,0)),"")</f>
        <v/>
      </c>
      <c r="AF16" s="213" t="str">
        <f t="shared" si="1"/>
        <v/>
      </c>
      <c r="AG16" s="212" t="str">
        <f>IFERROR(INDEX(V!$R:$R,MATCH(AH16,V!$L:$L,0)),"")</f>
        <v/>
      </c>
      <c r="AH16" s="213" t="str">
        <f t="shared" si="2"/>
        <v/>
      </c>
      <c r="AI16" s="212" t="str">
        <f>IFERROR(INDEX(V!$R:$R,MATCH(AJ16,V!$L:$L,0)),"")</f>
        <v/>
      </c>
      <c r="AJ16" s="213" t="str">
        <f t="shared" si="3"/>
        <v/>
      </c>
      <c r="AK16" s="212" t="str">
        <f>IFERROR(INDEX(V!$R:$R,MATCH(AL16,V!$L:$L,0)),"")</f>
        <v/>
      </c>
      <c r="AL16" s="213" t="str">
        <f t="shared" si="4"/>
        <v/>
      </c>
      <c r="AM16" s="212" t="str">
        <f>IFERROR(INDEX(V!$R:$R,MATCH(AN16,V!$L:$L,0)),"")</f>
        <v/>
      </c>
      <c r="AN16" s="213" t="str">
        <f t="shared" si="5"/>
        <v/>
      </c>
      <c r="AO16" s="212" t="str">
        <f>IFERROR(INDEX(V!$R:$R,MATCH(AP16,V!$L:$L,0)),"")</f>
        <v/>
      </c>
      <c r="AP16" s="213" t="str">
        <f t="shared" si="6"/>
        <v/>
      </c>
    </row>
    <row r="17" spans="1:42" hidden="1" x14ac:dyDescent="0.2">
      <c r="A17" s="188">
        <v>4</v>
      </c>
      <c r="B17" s="268"/>
      <c r="C17" s="190"/>
      <c r="D17" s="267"/>
      <c r="E17" s="190"/>
      <c r="F17" s="191"/>
      <c r="G17" s="286"/>
      <c r="H17" s="189" t="str">
        <f>(IF(C17-F14&gt;0,1)+IF(D17-F15&gt;0,1)+IF(E17-F16&gt;0,1)+IF(G17-F18&gt;0,1))&amp;"-"&amp;(IF(C17-F14&lt;0,1)+IF(D17-F15&lt;0,1)+IF(E17-F16&lt;0,1)+IF(G17-F18&lt;0,1))</f>
        <v>0-0</v>
      </c>
      <c r="I17" s="190" t="str">
        <f>IF(AND(B17&lt;&gt;"",R$6=TRUE),A$13&amp;RANK(S17,S$14:S$18,0)," ")</f>
        <v xml:space="preserve"> </v>
      </c>
      <c r="J17" s="264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259">
        <f>SUM(AND(T17=T14,C17&gt;F14),AND(T17=T15,D17&gt;F15),AND(T17=T16,E17&gt;F16),AND(T17=T18,G17&gt;F18))</f>
        <v>0</v>
      </c>
      <c r="L17" s="265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259">
        <f>SUM(AND(R17=R14,C17&gt;F14),AND(R17=R15,D17&gt;F15),AND(R17=R16,E17&gt;F16),AND(R17=R18,G17&gt;F18))</f>
        <v>0</v>
      </c>
      <c r="N17" s="305" t="str">
        <f>SUM(C17:G17)&amp;"-"&amp;SUM(F14:F18)</f>
        <v>0-0</v>
      </c>
      <c r="O17" s="306">
        <f>C17+D17+E17+G17-F14-F15-F16-F18</f>
        <v>0</v>
      </c>
      <c r="P17" s="260" t="e">
        <f>SUM(C17:G17,F14:F18)/SUM(F14:F18)</f>
        <v>#DIV/0!</v>
      </c>
      <c r="Q17" s="266">
        <f>VALUE(LEFT(H17,1))</f>
        <v>0</v>
      </c>
      <c r="R17" s="193">
        <f>Q17*100000+J17*10000+K17*1000+100*L17</f>
        <v>0</v>
      </c>
      <c r="S17" s="261">
        <f>R17+M17*0.1+IF(ISNONTEXT(B17),0,0.01)+0.0001*O17</f>
        <v>0</v>
      </c>
      <c r="T17" s="262" t="str">
        <f>Q17&amp;J17</f>
        <v>00</v>
      </c>
      <c r="U17" s="253"/>
      <c r="V17" s="253"/>
      <c r="W17" s="253"/>
      <c r="X17" s="253"/>
      <c r="Y17" s="253"/>
      <c r="Z17" s="253"/>
      <c r="AA17" s="260"/>
      <c r="AD17" s="211">
        <f t="shared" si="0"/>
        <v>0</v>
      </c>
      <c r="AE17" s="212" t="str">
        <f>IFERROR(INDEX(V!$R:$R,MATCH(AF17,V!$L:$L,0)),"")</f>
        <v/>
      </c>
      <c r="AF17" s="213" t="str">
        <f t="shared" si="1"/>
        <v/>
      </c>
      <c r="AG17" s="212" t="str">
        <f>IFERROR(INDEX(V!$R:$R,MATCH(AH17,V!$L:$L,0)),"")</f>
        <v/>
      </c>
      <c r="AH17" s="213" t="str">
        <f t="shared" si="2"/>
        <v/>
      </c>
      <c r="AI17" s="212" t="str">
        <f>IFERROR(INDEX(V!$R:$R,MATCH(AJ17,V!$L:$L,0)),"")</f>
        <v/>
      </c>
      <c r="AJ17" s="213" t="str">
        <f t="shared" si="3"/>
        <v/>
      </c>
      <c r="AK17" s="212" t="str">
        <f>IFERROR(INDEX(V!$R:$R,MATCH(AL17,V!$L:$L,0)),"")</f>
        <v/>
      </c>
      <c r="AL17" s="213" t="str">
        <f t="shared" si="4"/>
        <v/>
      </c>
      <c r="AM17" s="212" t="str">
        <f>IFERROR(INDEX(V!$R:$R,MATCH(AN17,V!$L:$L,0)),"")</f>
        <v/>
      </c>
      <c r="AN17" s="213" t="str">
        <f t="shared" si="5"/>
        <v/>
      </c>
      <c r="AO17" s="212" t="str">
        <f>IFERROR(INDEX(V!$R:$R,MATCH(AP17,V!$L:$L,0)),"")</f>
        <v/>
      </c>
      <c r="AP17" s="213" t="str">
        <f t="shared" si="6"/>
        <v/>
      </c>
    </row>
    <row r="18" spans="1:42" hidden="1" x14ac:dyDescent="0.2">
      <c r="A18" s="188">
        <v>5</v>
      </c>
      <c r="B18" s="268"/>
      <c r="C18" s="190"/>
      <c r="D18" s="190"/>
      <c r="E18" s="190"/>
      <c r="F18" s="190"/>
      <c r="G18" s="191"/>
      <c r="H18" s="189" t="str">
        <f>(IF(C18-G14&gt;0,1)+IF(D18-G15&gt;0,1)+IF(E18-G16&gt;0,1)+IF(F18-G17&gt;0,1))&amp;"-"&amp;(IF(C18-G14&lt;0,1)+IF(D18-G15&lt;0,1)+IF(E18-G16&lt;0,1)+IF(F18-G17&lt;0,1))</f>
        <v>0-0</v>
      </c>
      <c r="I18" s="190" t="str">
        <f>IF(AND(B18&lt;&gt;"",R$6=TRUE),A$13&amp;RANK(S18,S$14:S$18,0)," ")</f>
        <v xml:space="preserve"> </v>
      </c>
      <c r="J18" s="264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59">
        <f>SUM(AND(T18=T14,C18&gt;G14),AND(T18=T15,D18&gt;G15),AND(T18=T16,E18&gt;G16),AND(T18=T17,F18&gt;G17))</f>
        <v>0</v>
      </c>
      <c r="L18" s="265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59">
        <f>SUM(AND(R18=R14,C18&gt;G14),AND(R18=R15,D18&gt;G15),AND(R18=R16,E18&gt;G16),AND(R18=R17,F18&gt;G17))</f>
        <v>0</v>
      </c>
      <c r="N18" s="305" t="str">
        <f>SUM(C18:G18)&amp;"-"&amp;SUM(G14:G18)</f>
        <v>0-0</v>
      </c>
      <c r="O18" s="306">
        <f>C18+D18+E18+F18-G14-G15-G16-G17</f>
        <v>0</v>
      </c>
      <c r="P18" s="260" t="e">
        <f>SUM(C18:G18,G14:G18)/SUM(G14:G18)</f>
        <v>#DIV/0!</v>
      </c>
      <c r="Q18" s="266">
        <f>VALUE(LEFT(H18,1))</f>
        <v>0</v>
      </c>
      <c r="R18" s="193">
        <f>Q18*100000+J18*10000+K18*1000+100*L18</f>
        <v>0</v>
      </c>
      <c r="S18" s="261">
        <f>R18+M18*0.1+IF(ISNONTEXT(B18),0,0.01)+0.0001*O18</f>
        <v>0</v>
      </c>
      <c r="T18" s="262" t="str">
        <f>Q18&amp;J18</f>
        <v>00</v>
      </c>
      <c r="U18" s="253"/>
      <c r="V18" s="253"/>
      <c r="W18" s="253"/>
      <c r="X18" s="253"/>
      <c r="Y18" s="253"/>
      <c r="Z18" s="253"/>
      <c r="AA18" s="260"/>
      <c r="AD18" s="211">
        <f t="shared" si="0"/>
        <v>0</v>
      </c>
      <c r="AE18" s="212" t="str">
        <f>IFERROR(INDEX(V!$R:$R,MATCH(AF18,V!$L:$L,0)),"")</f>
        <v/>
      </c>
      <c r="AF18" s="213" t="str">
        <f t="shared" si="1"/>
        <v/>
      </c>
      <c r="AG18" s="212" t="str">
        <f>IFERROR(INDEX(V!$R:$R,MATCH(AH18,V!$L:$L,0)),"")</f>
        <v/>
      </c>
      <c r="AH18" s="213" t="str">
        <f t="shared" si="2"/>
        <v/>
      </c>
      <c r="AI18" s="212" t="str">
        <f>IFERROR(INDEX(V!$R:$R,MATCH(AJ18,V!$L:$L,0)),"")</f>
        <v/>
      </c>
      <c r="AJ18" s="213" t="str">
        <f t="shared" si="3"/>
        <v/>
      </c>
      <c r="AK18" s="212" t="str">
        <f>IFERROR(INDEX(V!$R:$R,MATCH(AL18,V!$L:$L,0)),"")</f>
        <v/>
      </c>
      <c r="AL18" s="213" t="str">
        <f t="shared" si="4"/>
        <v/>
      </c>
      <c r="AM18" s="212" t="str">
        <f>IFERROR(INDEX(V!$R:$R,MATCH(AN18,V!$L:$L,0)),"")</f>
        <v/>
      </c>
      <c r="AN18" s="213" t="str">
        <f t="shared" si="5"/>
        <v/>
      </c>
      <c r="AO18" s="212" t="str">
        <f>IFERROR(INDEX(V!$R:$R,MATCH(AP18,V!$L:$L,0)),"")</f>
        <v/>
      </c>
      <c r="AP18" s="213" t="str">
        <f t="shared" si="6"/>
        <v/>
      </c>
    </row>
    <row r="19" spans="1:42" hidden="1" x14ac:dyDescent="0.2">
      <c r="A19" s="269"/>
      <c r="B19" s="270"/>
      <c r="C19" s="271"/>
      <c r="D19" s="272"/>
      <c r="E19" s="271"/>
      <c r="F19" s="273"/>
      <c r="G19" s="274"/>
      <c r="H19" s="275"/>
      <c r="I19" s="287"/>
      <c r="J19" s="253"/>
      <c r="K19" s="253"/>
      <c r="L19" s="253"/>
      <c r="M19" s="253"/>
      <c r="N19" s="307"/>
      <c r="O19" s="307"/>
      <c r="P19" s="253"/>
      <c r="Q19" s="253"/>
      <c r="R19" s="277" t="s">
        <v>206</v>
      </c>
      <c r="S19" s="253"/>
      <c r="T19" s="253"/>
      <c r="U19" s="253"/>
      <c r="V19" s="253"/>
      <c r="W19" s="253"/>
      <c r="X19" s="253"/>
      <c r="Y19" s="253"/>
      <c r="Z19" s="253"/>
      <c r="AA19" s="260"/>
      <c r="AD19" s="211">
        <f t="shared" si="0"/>
        <v>0</v>
      </c>
      <c r="AE19" s="212" t="str">
        <f>IFERROR(INDEX(V!$R:$R,MATCH(AF19,V!$L:$L,0)),"")</f>
        <v/>
      </c>
      <c r="AF19" s="213" t="str">
        <f t="shared" si="1"/>
        <v/>
      </c>
      <c r="AG19" s="212" t="str">
        <f>IFERROR(INDEX(V!$R:$R,MATCH(AH19,V!$L:$L,0)),"")</f>
        <v/>
      </c>
      <c r="AH19" s="213" t="str">
        <f t="shared" si="2"/>
        <v/>
      </c>
      <c r="AI19" s="212" t="str">
        <f>IFERROR(INDEX(V!$R:$R,MATCH(AJ19,V!$L:$L,0)),"")</f>
        <v/>
      </c>
      <c r="AJ19" s="213" t="str">
        <f t="shared" si="3"/>
        <v/>
      </c>
      <c r="AK19" s="212" t="str">
        <f>IFERROR(INDEX(V!$R:$R,MATCH(AL19,V!$L:$L,0)),"")</f>
        <v/>
      </c>
      <c r="AL19" s="213" t="str">
        <f t="shared" si="4"/>
        <v/>
      </c>
      <c r="AM19" s="212" t="str">
        <f>IFERROR(INDEX(V!$R:$R,MATCH(AN19,V!$L:$L,0)),"")</f>
        <v/>
      </c>
      <c r="AN19" s="213" t="str">
        <f t="shared" si="5"/>
        <v/>
      </c>
      <c r="AO19" s="212" t="str">
        <f>IFERROR(INDEX(V!$R:$R,MATCH(AP19,V!$L:$L,0)),"")</f>
        <v/>
      </c>
      <c r="AP19" s="213" t="str">
        <f t="shared" si="6"/>
        <v/>
      </c>
    </row>
    <row r="20" spans="1:42" hidden="1" x14ac:dyDescent="0.2">
      <c r="A20" s="188" t="s">
        <v>2</v>
      </c>
      <c r="B20" s="278"/>
      <c r="C20" s="243">
        <v>1</v>
      </c>
      <c r="D20" s="243">
        <v>2</v>
      </c>
      <c r="E20" s="243">
        <v>3</v>
      </c>
      <c r="F20" s="243"/>
      <c r="G20" s="243"/>
      <c r="H20" s="244" t="s">
        <v>130</v>
      </c>
      <c r="I20" s="244" t="s">
        <v>131</v>
      </c>
      <c r="J20" s="279" t="s">
        <v>199</v>
      </c>
      <c r="K20" s="280" t="s">
        <v>200</v>
      </c>
      <c r="L20" s="281" t="s">
        <v>201</v>
      </c>
      <c r="M20" s="281" t="s">
        <v>202</v>
      </c>
      <c r="N20" s="248" t="s">
        <v>132</v>
      </c>
      <c r="O20" s="248" t="s">
        <v>132</v>
      </c>
      <c r="P20" s="249" t="s">
        <v>203</v>
      </c>
      <c r="Q20" s="282" t="s">
        <v>21</v>
      </c>
      <c r="R20" s="282" t="b">
        <f>OR(AND(COUNTA(B21:B25)=3,COUNTA(C21:G25)=6),AND(COUNTA(B21:B25)=4,COUNTA(C21:G25)=12),AND(COUNTA(B21:B25)=5,COUNTA(C21:G25)=20))</f>
        <v>0</v>
      </c>
      <c r="S20" s="283" t="s">
        <v>204</v>
      </c>
      <c r="T20" s="284" t="s">
        <v>205</v>
      </c>
      <c r="U20" s="253"/>
      <c r="V20" s="253"/>
      <c r="W20" s="253"/>
      <c r="X20" s="253"/>
      <c r="Y20" s="253"/>
      <c r="Z20" s="253"/>
      <c r="AA20" s="253"/>
      <c r="AD20" s="211">
        <f t="shared" si="0"/>
        <v>0</v>
      </c>
      <c r="AE20" s="212" t="str">
        <f>IFERROR(INDEX(V!$R:$R,MATCH(AF20,V!$L:$L,0)),"")</f>
        <v/>
      </c>
      <c r="AF20" s="213" t="str">
        <f t="shared" si="1"/>
        <v/>
      </c>
      <c r="AG20" s="212" t="str">
        <f>IFERROR(INDEX(V!$R:$R,MATCH(AH20,V!$L:$L,0)),"")</f>
        <v/>
      </c>
      <c r="AH20" s="213" t="str">
        <f t="shared" si="2"/>
        <v/>
      </c>
      <c r="AI20" s="212" t="str">
        <f>IFERROR(INDEX(V!$R:$R,MATCH(AJ20,V!$L:$L,0)),"")</f>
        <v/>
      </c>
      <c r="AJ20" s="213" t="str">
        <f t="shared" si="3"/>
        <v/>
      </c>
      <c r="AK20" s="212" t="str">
        <f>IFERROR(INDEX(V!$R:$R,MATCH(AL20,V!$L:$L,0)),"")</f>
        <v/>
      </c>
      <c r="AL20" s="213" t="str">
        <f t="shared" si="4"/>
        <v/>
      </c>
      <c r="AM20" s="212" t="str">
        <f>IFERROR(INDEX(V!$R:$R,MATCH(AN20,V!$L:$L,0)),"")</f>
        <v/>
      </c>
      <c r="AN20" s="213" t="str">
        <f t="shared" si="5"/>
        <v/>
      </c>
      <c r="AO20" s="212" t="str">
        <f>IFERROR(INDEX(V!$R:$R,MATCH(AP20,V!$L:$L,0)),"")</f>
        <v/>
      </c>
      <c r="AP20" s="213" t="str">
        <f t="shared" si="6"/>
        <v/>
      </c>
    </row>
    <row r="21" spans="1:42" hidden="1" x14ac:dyDescent="0.2">
      <c r="A21" s="188">
        <v>1</v>
      </c>
      <c r="B21" s="255"/>
      <c r="C21" s="191"/>
      <c r="D21" s="190"/>
      <c r="E21" s="190"/>
      <c r="F21" s="190"/>
      <c r="G21" s="190"/>
      <c r="H21" s="189" t="str">
        <f>(IF(D21-C22&gt;0,1)+IF(E21-C23&gt;0,1)+IF(F21-C24&gt;0,1)+IF(G21-C25&gt;0,1))&amp;"-"&amp;(IF(D21-C22&lt;0,1)+IF(E21-C23&lt;0,1)+IF(F21-C24&lt;0,1)+IF(G21-C25&lt;0,1))</f>
        <v>0-0</v>
      </c>
      <c r="I21" s="190" t="str">
        <f>IF(AND(B21&lt;&gt;"",R$20=TRUE),A$20&amp;RANK(S21,S$21:S$25,0)," ")</f>
        <v xml:space="preserve"> </v>
      </c>
      <c r="J21" s="256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257">
        <f>SUM(AND(T21=T22,D21&gt;C22),AND(T21=T23,E21&gt;C23),AND(T21=T24,F21&gt;C24),AND(T21=T25,G21&gt;C25))</f>
        <v>0</v>
      </c>
      <c r="L21" s="258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259">
        <f>SUM(AND(R21=R22,D21&gt;C22),AND(R21=R23,E21&gt;C23),AND(R21=R24,F21&gt;C24),AND(R21=R25,G21&gt;C25))</f>
        <v>0</v>
      </c>
      <c r="N21" s="305" t="str">
        <f>SUM(C21:G21)&amp;"-"&amp;SUM(C21:C25)</f>
        <v>0-0</v>
      </c>
      <c r="O21" s="306">
        <f>D21+E21+F21+G21-C22-C23-C24-C25</f>
        <v>0</v>
      </c>
      <c r="P21" s="260" t="e">
        <f>SUM(C21:G21,C21:C25)/SUM(C21:C25)</f>
        <v>#DIV/0!</v>
      </c>
      <c r="Q21" s="192">
        <f>VALUE(LEFT(H21,1))</f>
        <v>0</v>
      </c>
      <c r="R21" s="193">
        <f>Q21*100000+J21*10000+K21*1000+100*L21</f>
        <v>0</v>
      </c>
      <c r="S21" s="261">
        <f>R21+M21*0.1+IF(ISNONTEXT(B21),0,0.01)+0.0001*O21</f>
        <v>0</v>
      </c>
      <c r="T21" s="262" t="str">
        <f>Q21&amp;J21</f>
        <v>00</v>
      </c>
      <c r="U21" s="253"/>
      <c r="V21" s="253"/>
      <c r="W21" s="253"/>
      <c r="X21" s="253"/>
      <c r="Y21" s="253"/>
      <c r="Z21" s="253"/>
      <c r="AA21" s="253"/>
      <c r="AD21" s="211">
        <f t="shared" si="0"/>
        <v>0</v>
      </c>
      <c r="AE21" s="212" t="str">
        <f>IFERROR(INDEX(V!$R:$R,MATCH(AF21,V!$L:$L,0)),"")</f>
        <v/>
      </c>
      <c r="AF21" s="213" t="str">
        <f t="shared" si="1"/>
        <v/>
      </c>
      <c r="AG21" s="212" t="str">
        <f>IFERROR(INDEX(V!$R:$R,MATCH(AH21,V!$L:$L,0)),"")</f>
        <v/>
      </c>
      <c r="AH21" s="213" t="str">
        <f t="shared" si="2"/>
        <v/>
      </c>
      <c r="AI21" s="212" t="str">
        <f>IFERROR(INDEX(V!$R:$R,MATCH(AJ21,V!$L:$L,0)),"")</f>
        <v/>
      </c>
      <c r="AJ21" s="213" t="str">
        <f t="shared" si="3"/>
        <v/>
      </c>
      <c r="AK21" s="212" t="str">
        <f>IFERROR(INDEX(V!$R:$R,MATCH(AL21,V!$L:$L,0)),"")</f>
        <v/>
      </c>
      <c r="AL21" s="213" t="str">
        <f t="shared" si="4"/>
        <v/>
      </c>
      <c r="AM21" s="212" t="str">
        <f>IFERROR(INDEX(V!$R:$R,MATCH(AN21,V!$L:$L,0)),"")</f>
        <v/>
      </c>
      <c r="AN21" s="213" t="str">
        <f t="shared" si="5"/>
        <v/>
      </c>
      <c r="AO21" s="212" t="str">
        <f>IFERROR(INDEX(V!$R:$R,MATCH(AP21,V!$L:$L,0)),"")</f>
        <v/>
      </c>
      <c r="AP21" s="213" t="str">
        <f t="shared" si="6"/>
        <v/>
      </c>
    </row>
    <row r="22" spans="1:42" hidden="1" x14ac:dyDescent="0.2">
      <c r="A22" s="188">
        <v>2</v>
      </c>
      <c r="B22" s="263"/>
      <c r="C22" s="190"/>
      <c r="D22" s="191"/>
      <c r="E22" s="190"/>
      <c r="F22" s="190"/>
      <c r="G22" s="190"/>
      <c r="H22" s="189" t="str">
        <f>(IF(C22-D21&gt;0,1)+IF(E22-D23&gt;0,1)+IF(F22-D24&gt;0,1)+IF(G22-D25&gt;0,1))&amp;"-"&amp;(IF(C22-D21&lt;0,1)+IF(E22-D23&lt;0,1)+IF(F22-D24&lt;0,1)+IF(G22-D25&lt;0,1))</f>
        <v>0-0</v>
      </c>
      <c r="I22" s="190" t="str">
        <f t="shared" ref="I22:I25" si="7">IF(AND(B22&lt;&gt;"",R$20=TRUE),A$20&amp;RANK(S22,S$21:S$25,0)," ")</f>
        <v xml:space="preserve"> </v>
      </c>
      <c r="J22" s="264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59">
        <f>SUM(AND(T22=T21,C22&gt;D21),AND(T22=T23,E22&gt;D23),AND(T22=T24,F22&gt;D24),AND(T22=T25,G22&gt;D25))</f>
        <v>0</v>
      </c>
      <c r="L22" s="265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259">
        <f>SUM(AND(R22=R21,C22&gt;D21),AND(R22=R23,E22&gt;D23),AND(R22=R24,F22&gt;D24),AND(R22=R25,G22&gt;D25))</f>
        <v>0</v>
      </c>
      <c r="N22" s="305" t="str">
        <f>SUM(C22:G22)&amp;"-"&amp;SUM(D21:D25)</f>
        <v>0-0</v>
      </c>
      <c r="O22" s="306">
        <f>C22+E22+F22+G22-D21-D23-D24-D25</f>
        <v>0</v>
      </c>
      <c r="P22" s="260" t="e">
        <f>SUM(C22:G22,D21:D25)/SUM(D21:D25)</f>
        <v>#DIV/0!</v>
      </c>
      <c r="Q22" s="266">
        <f>VALUE(LEFT(H22,1))</f>
        <v>0</v>
      </c>
      <c r="R22" s="193">
        <f>Q22*100000+J22*10000+K22*1000+100*L22</f>
        <v>0</v>
      </c>
      <c r="S22" s="261">
        <f>R22+M22*0.1+IF(ISNONTEXT(B22),0,0.01)+0.0001*O22</f>
        <v>0</v>
      </c>
      <c r="T22" s="262" t="str">
        <f>Q22&amp;J22</f>
        <v>00</v>
      </c>
      <c r="U22" s="253"/>
      <c r="V22" s="253"/>
      <c r="W22" s="253"/>
      <c r="X22" s="253"/>
      <c r="Y22" s="253"/>
      <c r="Z22" s="253"/>
      <c r="AA22" s="253"/>
      <c r="AD22" s="211">
        <f t="shared" si="0"/>
        <v>0</v>
      </c>
      <c r="AE22" s="212" t="str">
        <f>IFERROR(INDEX(V!$R:$R,MATCH(AF22,V!$L:$L,0)),"")</f>
        <v/>
      </c>
      <c r="AF22" s="213" t="str">
        <f t="shared" si="1"/>
        <v/>
      </c>
      <c r="AG22" s="212" t="str">
        <f>IFERROR(INDEX(V!$R:$R,MATCH(AH22,V!$L:$L,0)),"")</f>
        <v/>
      </c>
      <c r="AH22" s="213" t="str">
        <f t="shared" si="2"/>
        <v/>
      </c>
      <c r="AI22" s="212" t="str">
        <f>IFERROR(INDEX(V!$R:$R,MATCH(AJ22,V!$L:$L,0)),"")</f>
        <v/>
      </c>
      <c r="AJ22" s="213" t="str">
        <f t="shared" si="3"/>
        <v/>
      </c>
      <c r="AK22" s="212" t="str">
        <f>IFERROR(INDEX(V!$R:$R,MATCH(AL22,V!$L:$L,0)),"")</f>
        <v/>
      </c>
      <c r="AL22" s="213" t="str">
        <f t="shared" si="4"/>
        <v/>
      </c>
      <c r="AM22" s="212" t="str">
        <f>IFERROR(INDEX(V!$R:$R,MATCH(AN22,V!$L:$L,0)),"")</f>
        <v/>
      </c>
      <c r="AN22" s="213" t="str">
        <f t="shared" si="5"/>
        <v/>
      </c>
      <c r="AO22" s="212" t="str">
        <f>IFERROR(INDEX(V!$R:$R,MATCH(AP22,V!$L:$L,0)),"")</f>
        <v/>
      </c>
      <c r="AP22" s="213" t="str">
        <f t="shared" si="6"/>
        <v/>
      </c>
    </row>
    <row r="23" spans="1:42" hidden="1" x14ac:dyDescent="0.2">
      <c r="A23" s="188">
        <v>3</v>
      </c>
      <c r="B23" s="263"/>
      <c r="C23" s="190"/>
      <c r="D23" s="267"/>
      <c r="E23" s="191"/>
      <c r="F23" s="190"/>
      <c r="G23" s="190"/>
      <c r="H23" s="189" t="str">
        <f>(IF(C23-E21&gt;0,1)+IF(D23-E22&gt;0,1)+IF(F23-E24&gt;0,1)+IF(G23-E25&gt;0,1))&amp;"-"&amp;(IF(C23-E21&lt;0,1)+IF(D23-E22&lt;0,1)+IF(F23-E24&lt;0,1)+IF(G23-E25&lt;0,1))</f>
        <v>0-0</v>
      </c>
      <c r="I23" s="190" t="str">
        <f t="shared" si="7"/>
        <v xml:space="preserve"> </v>
      </c>
      <c r="J23" s="264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59">
        <f>SUM(AND(T23=T21,C23&gt;E21),AND(T23=T22,D23&gt;E22),AND(T23=T24,F23&gt;E24),AND(T23=T25,G23&gt;E25))</f>
        <v>0</v>
      </c>
      <c r="L23" s="265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59">
        <f>SUM(AND(R23=R21,C23&gt;E21),AND(R23=R22,D23&gt;E22),AND(R23=R24,F23&gt;E24),AND(R23=R25,G23&gt;E25))</f>
        <v>0</v>
      </c>
      <c r="N23" s="305" t="str">
        <f>SUM(C23:G23)&amp;"-"&amp;SUM(E21:E25)</f>
        <v>0-0</v>
      </c>
      <c r="O23" s="306">
        <f>C23+D23+F23+G23-E21-E22-E24-E25</f>
        <v>0</v>
      </c>
      <c r="P23" s="260" t="e">
        <f>SUM(C23:G23,E21:E25)/SUM(E21:E25)</f>
        <v>#DIV/0!</v>
      </c>
      <c r="Q23" s="266">
        <f>VALUE(LEFT(H23,1))</f>
        <v>0</v>
      </c>
      <c r="R23" s="193">
        <f>Q23*100000+J23*10000+K23*1000+100*L23</f>
        <v>0</v>
      </c>
      <c r="S23" s="261">
        <f>R23+M23*0.1+IF(ISNONTEXT(B23),0,0.01)+0.0001*O23</f>
        <v>0</v>
      </c>
      <c r="T23" s="262" t="str">
        <f>Q23&amp;J23</f>
        <v>00</v>
      </c>
      <c r="U23" s="253"/>
      <c r="V23" s="253"/>
      <c r="W23" s="253"/>
      <c r="X23" s="253"/>
      <c r="Y23" s="253"/>
      <c r="Z23" s="253"/>
      <c r="AA23" s="253"/>
      <c r="AD23" s="211">
        <f t="shared" si="0"/>
        <v>0</v>
      </c>
      <c r="AE23" s="212" t="str">
        <f>IFERROR(INDEX(V!$R:$R,MATCH(AF23,V!$L:$L,0)),"")</f>
        <v/>
      </c>
      <c r="AF23" s="213" t="str">
        <f t="shared" si="1"/>
        <v/>
      </c>
      <c r="AG23" s="212" t="str">
        <f>IFERROR(INDEX(V!$R:$R,MATCH(AH23,V!$L:$L,0)),"")</f>
        <v/>
      </c>
      <c r="AH23" s="213" t="str">
        <f t="shared" si="2"/>
        <v/>
      </c>
      <c r="AI23" s="212" t="str">
        <f>IFERROR(INDEX(V!$R:$R,MATCH(AJ23,V!$L:$L,0)),"")</f>
        <v/>
      </c>
      <c r="AJ23" s="213" t="str">
        <f t="shared" si="3"/>
        <v/>
      </c>
      <c r="AK23" s="212" t="str">
        <f>IFERROR(INDEX(V!$R:$R,MATCH(AL23,V!$L:$L,0)),"")</f>
        <v/>
      </c>
      <c r="AL23" s="213" t="str">
        <f t="shared" si="4"/>
        <v/>
      </c>
      <c r="AM23" s="212" t="str">
        <f>IFERROR(INDEX(V!$R:$R,MATCH(AN23,V!$L:$L,0)),"")</f>
        <v/>
      </c>
      <c r="AN23" s="213" t="str">
        <f t="shared" si="5"/>
        <v/>
      </c>
      <c r="AO23" s="212" t="str">
        <f>IFERROR(INDEX(V!$R:$R,MATCH(AP23,V!$L:$L,0)),"")</f>
        <v/>
      </c>
      <c r="AP23" s="213" t="str">
        <f t="shared" si="6"/>
        <v/>
      </c>
    </row>
    <row r="24" spans="1:42" hidden="1" x14ac:dyDescent="0.2">
      <c r="A24" s="188">
        <v>4</v>
      </c>
      <c r="B24" s="263"/>
      <c r="C24" s="190"/>
      <c r="D24" s="267"/>
      <c r="E24" s="190"/>
      <c r="F24" s="191"/>
      <c r="G24" s="286"/>
      <c r="H24" s="189" t="str">
        <f>(IF(C24-F21&gt;0,1)+IF(D24-F22&gt;0,1)+IF(E24-F23&gt;0,1)+IF(G24-F25&gt;0,1))&amp;"-"&amp;(IF(C24-F21&lt;0,1)+IF(D24-F22&lt;0,1)+IF(E24-F23&lt;0,1)+IF(G24-F25&lt;0,1))</f>
        <v>0-0</v>
      </c>
      <c r="I24" s="190" t="str">
        <f t="shared" si="7"/>
        <v xml:space="preserve"> </v>
      </c>
      <c r="J24" s="264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0</v>
      </c>
      <c r="K24" s="259">
        <f>SUM(AND(T24=T21,C24&gt;F21),AND(T24=T22,D24&gt;F22),AND(T24=T23,E24&gt;F23),AND(T24=T25,G24&gt;F25))</f>
        <v>0</v>
      </c>
      <c r="L24" s="265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0</v>
      </c>
      <c r="M24" s="259">
        <f>SUM(AND(R24=R21,C24&gt;F21),AND(R24=R22,D24&gt;F22),AND(R24=R23,E24&gt;F23),AND(R24=R25,G24&gt;F25))</f>
        <v>0</v>
      </c>
      <c r="N24" s="305" t="str">
        <f>SUM(C24:G24)&amp;"-"&amp;SUM(F21:F25)</f>
        <v>0-0</v>
      </c>
      <c r="O24" s="306">
        <f>C24+D24+E24+G24-F21-F22-F23-F25</f>
        <v>0</v>
      </c>
      <c r="P24" s="260" t="e">
        <f>SUM(C24:G24,F21:F25)/SUM(F21:F25)</f>
        <v>#DIV/0!</v>
      </c>
      <c r="Q24" s="266">
        <f>VALUE(LEFT(H24,1))</f>
        <v>0</v>
      </c>
      <c r="R24" s="193">
        <f>Q24*100000+J24*10000+K24*1000+100*L24</f>
        <v>0</v>
      </c>
      <c r="S24" s="261">
        <f>R24+M24*0.1+IF(ISNONTEXT(B24),0,0.01)+0.0001*O24</f>
        <v>0</v>
      </c>
      <c r="T24" s="262" t="str">
        <f>Q24&amp;J24</f>
        <v>00</v>
      </c>
      <c r="U24" s="253"/>
      <c r="V24" s="253"/>
      <c r="W24" s="253"/>
      <c r="X24" s="253"/>
      <c r="Y24" s="253"/>
      <c r="Z24" s="253"/>
      <c r="AA24" s="253"/>
      <c r="AD24" s="211">
        <f t="shared" si="0"/>
        <v>0</v>
      </c>
      <c r="AE24" s="212" t="str">
        <f>IFERROR(INDEX(V!$R:$R,MATCH(AF24,V!$L:$L,0)),"")</f>
        <v/>
      </c>
      <c r="AF24" s="213" t="str">
        <f t="shared" si="1"/>
        <v/>
      </c>
      <c r="AG24" s="212" t="str">
        <f>IFERROR(INDEX(V!$R:$R,MATCH(AH24,V!$L:$L,0)),"")</f>
        <v/>
      </c>
      <c r="AH24" s="213" t="str">
        <f t="shared" si="2"/>
        <v/>
      </c>
      <c r="AI24" s="212" t="str">
        <f>IFERROR(INDEX(V!$R:$R,MATCH(AJ24,V!$L:$L,0)),"")</f>
        <v/>
      </c>
      <c r="AJ24" s="213" t="str">
        <f t="shared" si="3"/>
        <v/>
      </c>
      <c r="AK24" s="212" t="str">
        <f>IFERROR(INDEX(V!$R:$R,MATCH(AL24,V!$L:$L,0)),"")</f>
        <v/>
      </c>
      <c r="AL24" s="213" t="str">
        <f t="shared" si="4"/>
        <v/>
      </c>
      <c r="AM24" s="212" t="str">
        <f>IFERROR(INDEX(V!$R:$R,MATCH(AN24,V!$L:$L,0)),"")</f>
        <v/>
      </c>
      <c r="AN24" s="213" t="str">
        <f t="shared" si="5"/>
        <v/>
      </c>
      <c r="AO24" s="212" t="str">
        <f>IFERROR(INDEX(V!$R:$R,MATCH(AP24,V!$L:$L,0)),"")</f>
        <v/>
      </c>
      <c r="AP24" s="213" t="str">
        <f t="shared" si="6"/>
        <v/>
      </c>
    </row>
    <row r="25" spans="1:42" hidden="1" x14ac:dyDescent="0.2">
      <c r="A25" s="188">
        <v>5</v>
      </c>
      <c r="B25" s="268"/>
      <c r="C25" s="190"/>
      <c r="D25" s="190"/>
      <c r="E25" s="190"/>
      <c r="F25" s="190"/>
      <c r="G25" s="191"/>
      <c r="H25" s="189" t="str">
        <f>(IF(C25-G21&gt;0,1)+IF(D25-G22&gt;0,1)+IF(E25-G23&gt;0,1)+IF(F25-G24&gt;0,1))&amp;"-"&amp;(IF(C25-G21&lt;0,1)+IF(D25-G22&lt;0,1)+IF(E25-G23&lt;0,1)+IF(F25-G24&lt;0,1))</f>
        <v>0-0</v>
      </c>
      <c r="I25" s="190" t="str">
        <f t="shared" si="7"/>
        <v xml:space="preserve"> </v>
      </c>
      <c r="J25" s="264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59">
        <f>SUM(AND(T25=T21,C25&gt;G21),AND(T25=T22,D25&gt;G22),AND(T25=T23,E25&gt;G23),AND(T25=T24,F25&gt;G24))</f>
        <v>0</v>
      </c>
      <c r="L25" s="265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259">
        <f>SUM(AND(R25=R21,C25&gt;G21),AND(R25=R22,D25&gt;G22),AND(R25=R23,E25&gt;G23),AND(R25=R24,F25&gt;G24))</f>
        <v>0</v>
      </c>
      <c r="N25" s="305" t="str">
        <f>SUM(C25:G25)&amp;"-"&amp;SUM(G21:G25)</f>
        <v>0-0</v>
      </c>
      <c r="O25" s="306">
        <f>C25+D25+E25+F25-G21-G22-G23-G24</f>
        <v>0</v>
      </c>
      <c r="P25" s="260" t="e">
        <f>SUM(C25:G25,G21:G25)/SUM(G21:G25)</f>
        <v>#DIV/0!</v>
      </c>
      <c r="Q25" s="266">
        <f>VALUE(LEFT(H25,1))</f>
        <v>0</v>
      </c>
      <c r="R25" s="193">
        <f>Q25*100000+J25*10000+K25*1000+100*L25</f>
        <v>0</v>
      </c>
      <c r="S25" s="261">
        <f>R25+M25*0.1+IF(ISNONTEXT(B25),0,0.01)+0.0001*O25</f>
        <v>0</v>
      </c>
      <c r="T25" s="262" t="str">
        <f>Q25&amp;J25</f>
        <v>00</v>
      </c>
      <c r="U25" s="253"/>
      <c r="V25" s="253"/>
      <c r="W25" s="253"/>
      <c r="X25" s="253"/>
      <c r="Y25" s="253"/>
      <c r="Z25" s="253"/>
      <c r="AA25" s="253"/>
      <c r="AD25" s="211">
        <f t="shared" si="0"/>
        <v>0</v>
      </c>
      <c r="AE25" s="212" t="str">
        <f>IFERROR(INDEX(V!$R:$R,MATCH(AF25,V!$L:$L,0)),"")</f>
        <v/>
      </c>
      <c r="AF25" s="213" t="str">
        <f t="shared" si="1"/>
        <v/>
      </c>
      <c r="AG25" s="212" t="str">
        <f>IFERROR(INDEX(V!$R:$R,MATCH(AH25,V!$L:$L,0)),"")</f>
        <v/>
      </c>
      <c r="AH25" s="213" t="str">
        <f t="shared" si="2"/>
        <v/>
      </c>
      <c r="AI25" s="212" t="str">
        <f>IFERROR(INDEX(V!$R:$R,MATCH(AJ25,V!$L:$L,0)),"")</f>
        <v/>
      </c>
      <c r="AJ25" s="213" t="str">
        <f t="shared" si="3"/>
        <v/>
      </c>
      <c r="AK25" s="212" t="str">
        <f>IFERROR(INDEX(V!$R:$R,MATCH(AL25,V!$L:$L,0)),"")</f>
        <v/>
      </c>
      <c r="AL25" s="213" t="str">
        <f t="shared" si="4"/>
        <v/>
      </c>
      <c r="AM25" s="212" t="str">
        <f>IFERROR(INDEX(V!$R:$R,MATCH(AN25,V!$L:$L,0)),"")</f>
        <v/>
      </c>
      <c r="AN25" s="213" t="str">
        <f t="shared" si="5"/>
        <v/>
      </c>
      <c r="AO25" s="212" t="str">
        <f>IFERROR(INDEX(V!$R:$R,MATCH(AP25,V!$L:$L,0)),"")</f>
        <v/>
      </c>
      <c r="AP25" s="213" t="str">
        <f t="shared" si="6"/>
        <v/>
      </c>
    </row>
    <row r="26" spans="1:42" hidden="1" x14ac:dyDescent="0.2">
      <c r="A26" s="288"/>
      <c r="B26" s="289"/>
      <c r="C26" s="274"/>
      <c r="D26" s="274"/>
      <c r="E26" s="274"/>
      <c r="F26" s="290"/>
      <c r="G26" s="290"/>
      <c r="H26" s="291"/>
      <c r="I26" s="292"/>
      <c r="J26" s="253"/>
      <c r="K26" s="253"/>
      <c r="L26" s="253"/>
      <c r="M26" s="253"/>
      <c r="N26" s="307"/>
      <c r="O26" s="307"/>
      <c r="P26" s="253"/>
      <c r="Q26" s="253"/>
      <c r="R26" s="277" t="s">
        <v>206</v>
      </c>
      <c r="S26" s="253"/>
      <c r="T26" s="253"/>
      <c r="U26" s="253"/>
      <c r="V26" s="253"/>
      <c r="W26" s="253"/>
      <c r="X26" s="253"/>
      <c r="Y26" s="253"/>
      <c r="Z26" s="253"/>
      <c r="AA26" s="253"/>
      <c r="AD26" s="211">
        <f t="shared" si="0"/>
        <v>0</v>
      </c>
      <c r="AE26" s="212" t="str">
        <f>IFERROR(INDEX(V!$R:$R,MATCH(AF26,V!$L:$L,0)),"")</f>
        <v/>
      </c>
      <c r="AF26" s="213" t="str">
        <f t="shared" si="1"/>
        <v/>
      </c>
      <c r="AG26" s="212" t="str">
        <f>IFERROR(INDEX(V!$R:$R,MATCH(AH26,V!$L:$L,0)),"")</f>
        <v/>
      </c>
      <c r="AH26" s="213" t="str">
        <f t="shared" si="2"/>
        <v/>
      </c>
      <c r="AI26" s="212" t="str">
        <f>IFERROR(INDEX(V!$R:$R,MATCH(AJ26,V!$L:$L,0)),"")</f>
        <v/>
      </c>
      <c r="AJ26" s="213" t="str">
        <f t="shared" si="3"/>
        <v/>
      </c>
      <c r="AK26" s="212" t="str">
        <f>IFERROR(INDEX(V!$R:$R,MATCH(AL26,V!$L:$L,0)),"")</f>
        <v/>
      </c>
      <c r="AL26" s="213" t="str">
        <f t="shared" si="4"/>
        <v/>
      </c>
      <c r="AM26" s="212" t="str">
        <f>IFERROR(INDEX(V!$R:$R,MATCH(AN26,V!$L:$L,0)),"")</f>
        <v/>
      </c>
      <c r="AN26" s="213" t="str">
        <f t="shared" si="5"/>
        <v/>
      </c>
      <c r="AO26" s="212" t="str">
        <f>IFERROR(INDEX(V!$R:$R,MATCH(AP26,V!$L:$L,0)),"")</f>
        <v/>
      </c>
      <c r="AP26" s="213" t="str">
        <f t="shared" si="6"/>
        <v/>
      </c>
    </row>
    <row r="27" spans="1:42" hidden="1" x14ac:dyDescent="0.2">
      <c r="A27" s="188" t="s">
        <v>3</v>
      </c>
      <c r="B27" s="278"/>
      <c r="C27" s="243">
        <v>1</v>
      </c>
      <c r="D27" s="243">
        <v>2</v>
      </c>
      <c r="E27" s="243">
        <v>3</v>
      </c>
      <c r="F27" s="243"/>
      <c r="G27" s="243"/>
      <c r="H27" s="244" t="s">
        <v>130</v>
      </c>
      <c r="I27" s="244" t="s">
        <v>131</v>
      </c>
      <c r="J27" s="279" t="s">
        <v>199</v>
      </c>
      <c r="K27" s="280" t="s">
        <v>200</v>
      </c>
      <c r="L27" s="281" t="s">
        <v>201</v>
      </c>
      <c r="M27" s="281" t="s">
        <v>202</v>
      </c>
      <c r="N27" s="248" t="s">
        <v>132</v>
      </c>
      <c r="O27" s="248" t="s">
        <v>132</v>
      </c>
      <c r="P27" s="249" t="s">
        <v>203</v>
      </c>
      <c r="Q27" s="282" t="s">
        <v>21</v>
      </c>
      <c r="R27" s="282" t="b">
        <f>OR(AND(COUNTA(B28:B32)=3,COUNTA(C28:G32)=6),AND(COUNTA(B28:B32)=4,COUNTA(C28:G32)=12),AND(COUNTA(B28:B32)=5,COUNTA(C28:G32)=20))</f>
        <v>0</v>
      </c>
      <c r="S27" s="283" t="s">
        <v>204</v>
      </c>
      <c r="T27" s="284" t="s">
        <v>205</v>
      </c>
      <c r="U27" s="253"/>
      <c r="V27" s="253"/>
      <c r="W27" s="253"/>
      <c r="X27" s="253"/>
      <c r="Y27" s="253"/>
      <c r="Z27" s="253"/>
      <c r="AA27" s="253"/>
      <c r="AD27" s="211">
        <f t="shared" si="0"/>
        <v>0</v>
      </c>
      <c r="AE27" s="212" t="str">
        <f>IFERROR(INDEX(V!$R:$R,MATCH(AF27,V!$L:$L,0)),"")</f>
        <v/>
      </c>
      <c r="AF27" s="213" t="str">
        <f t="shared" si="1"/>
        <v/>
      </c>
      <c r="AG27" s="212" t="str">
        <f>IFERROR(INDEX(V!$R:$R,MATCH(AH27,V!$L:$L,0)),"")</f>
        <v/>
      </c>
      <c r="AH27" s="213" t="str">
        <f t="shared" si="2"/>
        <v/>
      </c>
      <c r="AI27" s="212" t="str">
        <f>IFERROR(INDEX(V!$R:$R,MATCH(AJ27,V!$L:$L,0)),"")</f>
        <v/>
      </c>
      <c r="AJ27" s="213" t="str">
        <f t="shared" si="3"/>
        <v/>
      </c>
      <c r="AK27" s="212" t="str">
        <f>IFERROR(INDEX(V!$R:$R,MATCH(AL27,V!$L:$L,0)),"")</f>
        <v/>
      </c>
      <c r="AL27" s="213" t="str">
        <f t="shared" si="4"/>
        <v/>
      </c>
      <c r="AM27" s="212" t="str">
        <f>IFERROR(INDEX(V!$R:$R,MATCH(AN27,V!$L:$L,0)),"")</f>
        <v/>
      </c>
      <c r="AN27" s="213" t="str">
        <f t="shared" si="5"/>
        <v/>
      </c>
      <c r="AO27" s="212" t="str">
        <f>IFERROR(INDEX(V!$R:$R,MATCH(AP27,V!$L:$L,0)),"")</f>
        <v/>
      </c>
      <c r="AP27" s="213" t="str">
        <f t="shared" si="6"/>
        <v/>
      </c>
    </row>
    <row r="28" spans="1:42" hidden="1" x14ac:dyDescent="0.2">
      <c r="A28" s="188">
        <v>1</v>
      </c>
      <c r="B28" s="293"/>
      <c r="C28" s="191"/>
      <c r="D28" s="190"/>
      <c r="E28" s="190"/>
      <c r="F28" s="190"/>
      <c r="G28" s="190"/>
      <c r="H28" s="189" t="str">
        <f>(IF(D28-C29&gt;0,1)+IF(E28-C30&gt;0,1)+IF(F28-C31&gt;0,1)+IF(G28-C32&gt;0,1))&amp;"-"&amp;(IF(D28-C29&lt;0,1)+IF(E28-C30&lt;0,1)+IF(F28-C31&lt;0,1)+IF(G28-C32&lt;0,1))</f>
        <v>0-0</v>
      </c>
      <c r="I28" s="190" t="str">
        <f>IF(AND(B28&lt;&gt;"",R$27=TRUE),A$27&amp;RANK(S28,S$28:S$32,0)," ")</f>
        <v xml:space="preserve"> </v>
      </c>
      <c r="J28" s="256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0</v>
      </c>
      <c r="K28" s="257">
        <f>SUM(AND(T28=T29,D28&gt;C29),AND(T28=T30,E28&gt;C30),AND(T28=T31,F28&gt;C31),AND(T28=T32,G28&gt;C32))</f>
        <v>0</v>
      </c>
      <c r="L28" s="258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0</v>
      </c>
      <c r="M28" s="259">
        <f>SUM(AND(R28=R29,D28&gt;C29),AND(R28=R30,E28&gt;C30),AND(R28=R31,F28&gt;C31),AND(R28=R32,G28&gt;C32))</f>
        <v>0</v>
      </c>
      <c r="N28" s="305" t="str">
        <f>SUM(C28:G28)&amp;"-"&amp;SUM(C28:C32)</f>
        <v>0-0</v>
      </c>
      <c r="O28" s="306">
        <f>D28+E28+F28+G28-C29-C30-C31-C32</f>
        <v>0</v>
      </c>
      <c r="P28" s="260" t="e">
        <f>SUM(C28:G28,C28:C32)/SUM(C28:C32)</f>
        <v>#DIV/0!</v>
      </c>
      <c r="Q28" s="192">
        <f>VALUE(LEFT(H28,1))</f>
        <v>0</v>
      </c>
      <c r="R28" s="193">
        <f>Q28*100000+J28*10000+K28*1000+100*L28</f>
        <v>0</v>
      </c>
      <c r="S28" s="261">
        <f>R28+M28*0.1+IF(ISNONTEXT(B28),0,0.01)+0.0001*O28</f>
        <v>0</v>
      </c>
      <c r="T28" s="262" t="str">
        <f>Q28&amp;J28</f>
        <v>00</v>
      </c>
      <c r="U28" s="253"/>
      <c r="V28" s="253"/>
      <c r="W28" s="253"/>
      <c r="X28" s="253"/>
      <c r="Y28" s="253"/>
      <c r="Z28" s="253"/>
      <c r="AA28" s="253"/>
      <c r="AD28" s="211">
        <f t="shared" si="0"/>
        <v>0</v>
      </c>
      <c r="AE28" s="212" t="str">
        <f>IFERROR(INDEX(V!$R:$R,MATCH(AF28,V!$L:$L,0)),"")</f>
        <v/>
      </c>
      <c r="AF28" s="213" t="str">
        <f t="shared" si="1"/>
        <v/>
      </c>
      <c r="AG28" s="212" t="str">
        <f>IFERROR(INDEX(V!$R:$R,MATCH(AH28,V!$L:$L,0)),"")</f>
        <v/>
      </c>
      <c r="AH28" s="213" t="str">
        <f t="shared" si="2"/>
        <v/>
      </c>
      <c r="AI28" s="212" t="str">
        <f>IFERROR(INDEX(V!$R:$R,MATCH(AJ28,V!$L:$L,0)),"")</f>
        <v/>
      </c>
      <c r="AJ28" s="213" t="str">
        <f t="shared" si="3"/>
        <v/>
      </c>
      <c r="AK28" s="212" t="str">
        <f>IFERROR(INDEX(V!$R:$R,MATCH(AL28,V!$L:$L,0)),"")</f>
        <v/>
      </c>
      <c r="AL28" s="213" t="str">
        <f t="shared" si="4"/>
        <v/>
      </c>
      <c r="AM28" s="212" t="str">
        <f>IFERROR(INDEX(V!$R:$R,MATCH(AN28,V!$L:$L,0)),"")</f>
        <v/>
      </c>
      <c r="AN28" s="213" t="str">
        <f t="shared" si="5"/>
        <v/>
      </c>
      <c r="AO28" s="212" t="str">
        <f>IFERROR(INDEX(V!$R:$R,MATCH(AP28,V!$L:$L,0)),"")</f>
        <v/>
      </c>
      <c r="AP28" s="213" t="str">
        <f t="shared" si="6"/>
        <v/>
      </c>
    </row>
    <row r="29" spans="1:42" hidden="1" x14ac:dyDescent="0.2">
      <c r="A29" s="188">
        <v>2</v>
      </c>
      <c r="B29" s="263"/>
      <c r="C29" s="190"/>
      <c r="D29" s="191"/>
      <c r="E29" s="190"/>
      <c r="F29" s="190"/>
      <c r="G29" s="190"/>
      <c r="H29" s="189" t="str">
        <f>(IF(C29-D28&gt;0,1)+IF(E29-D30&gt;0,1)+IF(F29-D31&gt;0,1)+IF(G29-D32&gt;0,1))&amp;"-"&amp;(IF(C29-D28&lt;0,1)+IF(E29-D30&lt;0,1)+IF(F29-D31&lt;0,1)+IF(G29-D32&lt;0,1))</f>
        <v>0-0</v>
      </c>
      <c r="I29" s="190" t="str">
        <f t="shared" ref="I29:I32" si="8">IF(AND(B29&lt;&gt;"",R$27=TRUE),A$27&amp;RANK(S29,S$28:S$32,0)," ")</f>
        <v xml:space="preserve"> </v>
      </c>
      <c r="J29" s="264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59">
        <f>SUM(AND(T29=T28,C29&gt;D28),AND(T29=T30,E29&gt;D30),AND(T29=T31,F29&gt;D31),AND(T29=T32,G29&gt;D32))</f>
        <v>0</v>
      </c>
      <c r="L29" s="265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0</v>
      </c>
      <c r="M29" s="259">
        <f>SUM(AND(R29=R28,C29&gt;D28),AND(R29=R30,E29&gt;D30),AND(R29=R31,F29&gt;D31),AND(R29=R32,G29&gt;D32))</f>
        <v>0</v>
      </c>
      <c r="N29" s="305" t="str">
        <f>SUM(C29:G29)&amp;"-"&amp;SUM(D28:D32)</f>
        <v>0-0</v>
      </c>
      <c r="O29" s="306">
        <f>C29+E29+F29+G29-D28-D30-D31-D32</f>
        <v>0</v>
      </c>
      <c r="P29" s="260" t="e">
        <f>SUM(C29:G29,D28:D32)/SUM(D28:D32)</f>
        <v>#DIV/0!</v>
      </c>
      <c r="Q29" s="266">
        <f>VALUE(LEFT(H29,1))</f>
        <v>0</v>
      </c>
      <c r="R29" s="193">
        <f>Q29*100000+J29*10000+K29*1000+100*L29</f>
        <v>0</v>
      </c>
      <c r="S29" s="261">
        <f>R29+M29*0.1+IF(ISNONTEXT(B29),0,0.01)+0.0001*O29</f>
        <v>0</v>
      </c>
      <c r="T29" s="262" t="str">
        <f>Q29&amp;J29</f>
        <v>00</v>
      </c>
      <c r="U29" s="253"/>
      <c r="V29" s="253"/>
      <c r="W29" s="253"/>
      <c r="X29" s="253"/>
      <c r="Y29" s="253"/>
      <c r="Z29" s="253"/>
      <c r="AA29" s="253"/>
      <c r="AD29" s="211">
        <f t="shared" si="0"/>
        <v>0</v>
      </c>
      <c r="AE29" s="212" t="str">
        <f>IFERROR(INDEX(V!$R:$R,MATCH(AF29,V!$L:$L,0)),"")</f>
        <v/>
      </c>
      <c r="AF29" s="213" t="str">
        <f t="shared" si="1"/>
        <v/>
      </c>
      <c r="AG29" s="212" t="str">
        <f>IFERROR(INDEX(V!$R:$R,MATCH(AH29,V!$L:$L,0)),"")</f>
        <v/>
      </c>
      <c r="AH29" s="213" t="str">
        <f t="shared" si="2"/>
        <v/>
      </c>
      <c r="AI29" s="212" t="str">
        <f>IFERROR(INDEX(V!$R:$R,MATCH(AJ29,V!$L:$L,0)),"")</f>
        <v/>
      </c>
      <c r="AJ29" s="213" t="str">
        <f t="shared" si="3"/>
        <v/>
      </c>
      <c r="AK29" s="212" t="str">
        <f>IFERROR(INDEX(V!$R:$R,MATCH(AL29,V!$L:$L,0)),"")</f>
        <v/>
      </c>
      <c r="AL29" s="213" t="str">
        <f t="shared" si="4"/>
        <v/>
      </c>
      <c r="AM29" s="212" t="str">
        <f>IFERROR(INDEX(V!$R:$R,MATCH(AN29,V!$L:$L,0)),"")</f>
        <v/>
      </c>
      <c r="AN29" s="213" t="str">
        <f t="shared" si="5"/>
        <v/>
      </c>
      <c r="AO29" s="212" t="str">
        <f>IFERROR(INDEX(V!$R:$R,MATCH(AP29,V!$L:$L,0)),"")</f>
        <v/>
      </c>
      <c r="AP29" s="213" t="str">
        <f t="shared" si="6"/>
        <v/>
      </c>
    </row>
    <row r="30" spans="1:42" hidden="1" x14ac:dyDescent="0.2">
      <c r="A30" s="188">
        <v>3</v>
      </c>
      <c r="B30" s="263"/>
      <c r="C30" s="190"/>
      <c r="D30" s="267"/>
      <c r="E30" s="191"/>
      <c r="F30" s="190"/>
      <c r="G30" s="190"/>
      <c r="H30" s="189" t="str">
        <f>(IF(C30-E28&gt;0,1)+IF(D30-E29&gt;0,1)+IF(F30-E31&gt;0,1)+IF(G30-E32&gt;0,1))&amp;"-"&amp;(IF(C30-E28&lt;0,1)+IF(D30-E29&lt;0,1)+IF(F30-E31&lt;0,1)+IF(G30-E32&lt;0,1))</f>
        <v>0-0</v>
      </c>
      <c r="I30" s="190" t="str">
        <f t="shared" si="8"/>
        <v xml:space="preserve"> </v>
      </c>
      <c r="J30" s="264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59">
        <f>SUM(AND(T30=T28,C30&gt;E28),AND(T30=T29,D30&gt;E29),AND(T30=T31,F30&gt;E31),AND(T30=T32,G30&gt;E32))</f>
        <v>0</v>
      </c>
      <c r="L30" s="265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59">
        <f>SUM(AND(R30=R28,C30&gt;E28),AND(R30=R29,D30&gt;E29),AND(R30=R31,F30&gt;E31),AND(R30=R32,G30&gt;E32))</f>
        <v>0</v>
      </c>
      <c r="N30" s="305" t="str">
        <f>SUM(C30:G30)&amp;"-"&amp;SUM(E28:E32)</f>
        <v>0-0</v>
      </c>
      <c r="O30" s="306">
        <f>C30+D30+F30+G30-E28-E29-E31-E32</f>
        <v>0</v>
      </c>
      <c r="P30" s="260" t="e">
        <f>SUM(C30:G30,E28:E32)/SUM(E28:E32)</f>
        <v>#DIV/0!</v>
      </c>
      <c r="Q30" s="266">
        <f>VALUE(LEFT(H30,1))</f>
        <v>0</v>
      </c>
      <c r="R30" s="193">
        <f>Q30*100000+J30*10000+K30*1000+100*L30</f>
        <v>0</v>
      </c>
      <c r="S30" s="261">
        <f>R30+M30*0.1+IF(ISNONTEXT(B30),0,0.01)+0.0001*O30</f>
        <v>0</v>
      </c>
      <c r="T30" s="262" t="str">
        <f>Q30&amp;J30</f>
        <v>00</v>
      </c>
      <c r="U30" s="253"/>
      <c r="V30" s="253"/>
      <c r="W30" s="253"/>
      <c r="X30" s="253"/>
      <c r="Y30" s="253"/>
      <c r="Z30" s="253"/>
      <c r="AA30" s="253"/>
      <c r="AD30" s="211">
        <f t="shared" si="0"/>
        <v>0</v>
      </c>
      <c r="AE30" s="212" t="str">
        <f>IFERROR(INDEX(V!$R:$R,MATCH(AF30,V!$L:$L,0)),"")</f>
        <v/>
      </c>
      <c r="AF30" s="213" t="str">
        <f t="shared" si="1"/>
        <v/>
      </c>
      <c r="AG30" s="212" t="str">
        <f>IFERROR(INDEX(V!$R:$R,MATCH(AH30,V!$L:$L,0)),"")</f>
        <v/>
      </c>
      <c r="AH30" s="213" t="str">
        <f t="shared" si="2"/>
        <v/>
      </c>
      <c r="AI30" s="212" t="str">
        <f>IFERROR(INDEX(V!$R:$R,MATCH(AJ30,V!$L:$L,0)),"")</f>
        <v/>
      </c>
      <c r="AJ30" s="213" t="str">
        <f t="shared" si="3"/>
        <v/>
      </c>
      <c r="AK30" s="212" t="str">
        <f>IFERROR(INDEX(V!$R:$R,MATCH(AL30,V!$L:$L,0)),"")</f>
        <v/>
      </c>
      <c r="AL30" s="213" t="str">
        <f t="shared" si="4"/>
        <v/>
      </c>
      <c r="AM30" s="212" t="str">
        <f>IFERROR(INDEX(V!$R:$R,MATCH(AN30,V!$L:$L,0)),"")</f>
        <v/>
      </c>
      <c r="AN30" s="213" t="str">
        <f t="shared" si="5"/>
        <v/>
      </c>
      <c r="AO30" s="212" t="str">
        <f>IFERROR(INDEX(V!$R:$R,MATCH(AP30,V!$L:$L,0)),"")</f>
        <v/>
      </c>
      <c r="AP30" s="213" t="str">
        <f t="shared" si="6"/>
        <v/>
      </c>
    </row>
    <row r="31" spans="1:42" hidden="1" x14ac:dyDescent="0.2">
      <c r="A31" s="188">
        <v>4</v>
      </c>
      <c r="B31" s="268"/>
      <c r="C31" s="190"/>
      <c r="D31" s="267"/>
      <c r="E31" s="190"/>
      <c r="F31" s="191"/>
      <c r="G31" s="286"/>
      <c r="H31" s="189" t="str">
        <f>(IF(C31-F28&gt;0,1)+IF(D31-F29&gt;0,1)+IF(E31-F30&gt;0,1)+IF(G31-F32&gt;0,1))&amp;"-"&amp;(IF(C31-F28&lt;0,1)+IF(D31-F29&lt;0,1)+IF(E31-F30&lt;0,1)+IF(G31-F32&lt;0,1))</f>
        <v>0-0</v>
      </c>
      <c r="I31" s="190" t="str">
        <f t="shared" si="8"/>
        <v xml:space="preserve"> </v>
      </c>
      <c r="J31" s="264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0</v>
      </c>
      <c r="K31" s="259">
        <f>SUM(AND(T31=T28,C31&gt;F28),AND(T31=T29,D31&gt;F29),AND(T31=T30,E31&gt;F30),AND(T31=T32,G31&gt;F32))</f>
        <v>0</v>
      </c>
      <c r="L31" s="265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0</v>
      </c>
      <c r="M31" s="259">
        <f>SUM(AND(R31=R28,C31&gt;F28),AND(R31=R29,D31&gt;F29),AND(R31=R30,E31&gt;F30),AND(R31=R32,G31&gt;F32))</f>
        <v>0</v>
      </c>
      <c r="N31" s="305" t="str">
        <f>SUM(C31:G31)&amp;"-"&amp;SUM(F28:F32)</f>
        <v>0-0</v>
      </c>
      <c r="O31" s="306">
        <f>C31+D31+E31+G31-F28-F29-F30-F32</f>
        <v>0</v>
      </c>
      <c r="P31" s="260" t="e">
        <f>SUM(C31:G31,F28:F32)/SUM(F28:F32)</f>
        <v>#DIV/0!</v>
      </c>
      <c r="Q31" s="266">
        <f>VALUE(LEFT(H31,1))</f>
        <v>0</v>
      </c>
      <c r="R31" s="193">
        <f>Q31*100000+J31*10000+K31*1000+100*L31</f>
        <v>0</v>
      </c>
      <c r="S31" s="261">
        <f>R31+M31*0.1+IF(ISNONTEXT(B31),0,0.01)+0.0001*O31</f>
        <v>0</v>
      </c>
      <c r="T31" s="262" t="str">
        <f>Q31&amp;J31</f>
        <v>00</v>
      </c>
      <c r="U31" s="253"/>
      <c r="V31" s="253"/>
      <c r="W31" s="253"/>
      <c r="X31" s="253"/>
      <c r="Y31" s="253"/>
      <c r="Z31" s="253"/>
      <c r="AA31" s="253"/>
      <c r="AD31" s="211">
        <f t="shared" si="0"/>
        <v>0</v>
      </c>
      <c r="AE31" s="212" t="str">
        <f>IFERROR(INDEX(V!$R:$R,MATCH(AF31,V!$L:$L,0)),"")</f>
        <v/>
      </c>
      <c r="AF31" s="213" t="str">
        <f t="shared" si="1"/>
        <v/>
      </c>
      <c r="AG31" s="212" t="str">
        <f>IFERROR(INDEX(V!$R:$R,MATCH(AH31,V!$L:$L,0)),"")</f>
        <v/>
      </c>
      <c r="AH31" s="213" t="str">
        <f t="shared" si="2"/>
        <v/>
      </c>
      <c r="AI31" s="212" t="str">
        <f>IFERROR(INDEX(V!$R:$R,MATCH(AJ31,V!$L:$L,0)),"")</f>
        <v/>
      </c>
      <c r="AJ31" s="213" t="str">
        <f t="shared" si="3"/>
        <v/>
      </c>
      <c r="AK31" s="212" t="str">
        <f>IFERROR(INDEX(V!$R:$R,MATCH(AL31,V!$L:$L,0)),"")</f>
        <v/>
      </c>
      <c r="AL31" s="213" t="str">
        <f t="shared" si="4"/>
        <v/>
      </c>
      <c r="AM31" s="212" t="str">
        <f>IFERROR(INDEX(V!$R:$R,MATCH(AN31,V!$L:$L,0)),"")</f>
        <v/>
      </c>
      <c r="AN31" s="213" t="str">
        <f t="shared" si="5"/>
        <v/>
      </c>
      <c r="AO31" s="212" t="str">
        <f>IFERROR(INDEX(V!$R:$R,MATCH(AP31,V!$L:$L,0)),"")</f>
        <v/>
      </c>
      <c r="AP31" s="213" t="str">
        <f t="shared" si="6"/>
        <v/>
      </c>
    </row>
    <row r="32" spans="1:42" hidden="1" x14ac:dyDescent="0.2">
      <c r="A32" s="188">
        <v>5</v>
      </c>
      <c r="B32" s="268"/>
      <c r="C32" s="190"/>
      <c r="D32" s="190"/>
      <c r="E32" s="190"/>
      <c r="F32" s="190"/>
      <c r="G32" s="191"/>
      <c r="H32" s="189" t="str">
        <f>(IF(C32-G28&gt;0,1)+IF(D32-G29&gt;0,1)+IF(E32-G30&gt;0,1)+IF(F32-G31&gt;0,1))&amp;"-"&amp;(IF(C32-G28&lt;0,1)+IF(D32-G29&lt;0,1)+IF(E32-G30&lt;0,1)+IF(F32-G31&lt;0,1))</f>
        <v>0-0</v>
      </c>
      <c r="I32" s="190" t="str">
        <f t="shared" si="8"/>
        <v xml:space="preserve"> </v>
      </c>
      <c r="J32" s="264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59">
        <f>SUM(AND(T32=T28,C32&gt;G28),AND(T32=T29,D32&gt;G29),AND(T32=T30,E32&gt;G30),AND(T32=T31,F32&gt;G31))</f>
        <v>0</v>
      </c>
      <c r="L32" s="265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59">
        <f>SUM(AND(R32=R28,C32&gt;G28),AND(R32=R29,D32&gt;G29),AND(R32=R30,E32&gt;G30),AND(R32=R31,F32&gt;G31))</f>
        <v>0</v>
      </c>
      <c r="N32" s="305" t="str">
        <f>SUM(C32:G32)&amp;"-"&amp;SUM(G28:G32)</f>
        <v>0-0</v>
      </c>
      <c r="O32" s="306">
        <f>C32+D32+E32+F32-G28-G29-G30-G31</f>
        <v>0</v>
      </c>
      <c r="P32" s="260" t="e">
        <f>SUM(C32:G32,G28:G32)/SUM(G28:G32)</f>
        <v>#DIV/0!</v>
      </c>
      <c r="Q32" s="266">
        <f>VALUE(LEFT(H32,1))</f>
        <v>0</v>
      </c>
      <c r="R32" s="193">
        <f>Q32*100000+J32*10000+K32*1000+100*L32</f>
        <v>0</v>
      </c>
      <c r="S32" s="261">
        <f>R32+M32*0.1+IF(ISNONTEXT(B32),0,0.01)+0.0001*O32</f>
        <v>0</v>
      </c>
      <c r="T32" s="262" t="str">
        <f>Q32&amp;J32</f>
        <v>00</v>
      </c>
      <c r="U32" s="253"/>
      <c r="V32" s="253"/>
      <c r="W32" s="253"/>
      <c r="X32" s="253"/>
      <c r="Y32" s="253"/>
      <c r="Z32" s="253"/>
      <c r="AA32" s="253"/>
      <c r="AD32" s="211">
        <f t="shared" si="0"/>
        <v>0</v>
      </c>
      <c r="AE32" s="212" t="str">
        <f>IFERROR(INDEX(V!$R:$R,MATCH(AF32,V!$L:$L,0)),"")</f>
        <v/>
      </c>
      <c r="AF32" s="213" t="str">
        <f t="shared" si="1"/>
        <v/>
      </c>
      <c r="AG32" s="212" t="str">
        <f>IFERROR(INDEX(V!$R:$R,MATCH(AH32,V!$L:$L,0)),"")</f>
        <v/>
      </c>
      <c r="AH32" s="213" t="str">
        <f t="shared" si="2"/>
        <v/>
      </c>
      <c r="AI32" s="212" t="str">
        <f>IFERROR(INDEX(V!$R:$R,MATCH(AJ32,V!$L:$L,0)),"")</f>
        <v/>
      </c>
      <c r="AJ32" s="213" t="str">
        <f t="shared" si="3"/>
        <v/>
      </c>
      <c r="AK32" s="212" t="str">
        <f>IFERROR(INDEX(V!$R:$R,MATCH(AL32,V!$L:$L,0)),"")</f>
        <v/>
      </c>
      <c r="AL32" s="213" t="str">
        <f t="shared" si="4"/>
        <v/>
      </c>
      <c r="AM32" s="212" t="str">
        <f>IFERROR(INDEX(V!$R:$R,MATCH(AN32,V!$L:$L,0)),"")</f>
        <v/>
      </c>
      <c r="AN32" s="213" t="str">
        <f t="shared" si="5"/>
        <v/>
      </c>
      <c r="AO32" s="212" t="str">
        <f>IFERROR(INDEX(V!$R:$R,MATCH(AP32,V!$L:$L,0)),"")</f>
        <v/>
      </c>
      <c r="AP32" s="213" t="str">
        <f t="shared" si="6"/>
        <v/>
      </c>
    </row>
    <row r="33" spans="1:42" hidden="1" x14ac:dyDescent="0.2">
      <c r="A33" s="269"/>
      <c r="B33" s="294"/>
      <c r="C33" s="274"/>
      <c r="D33" s="274"/>
      <c r="E33" s="274"/>
      <c r="F33" s="271"/>
      <c r="G33" s="274"/>
      <c r="H33" s="295"/>
      <c r="I33" s="229"/>
      <c r="J33" s="253"/>
      <c r="K33" s="253"/>
      <c r="L33" s="253"/>
      <c r="M33" s="253"/>
      <c r="N33" s="307"/>
      <c r="O33" s="307"/>
      <c r="P33" s="253"/>
      <c r="Q33" s="253"/>
      <c r="R33" s="277" t="s">
        <v>206</v>
      </c>
      <c r="S33" s="253"/>
      <c r="T33" s="253"/>
      <c r="U33" s="253"/>
      <c r="V33" s="253"/>
      <c r="W33" s="253"/>
      <c r="X33" s="253"/>
      <c r="Y33" s="253"/>
      <c r="Z33" s="253"/>
      <c r="AA33" s="253"/>
      <c r="AD33" s="211">
        <f t="shared" si="0"/>
        <v>0</v>
      </c>
      <c r="AE33" s="212" t="str">
        <f>IFERROR(INDEX(V!$R:$R,MATCH(AF33,V!$L:$L,0)),"")</f>
        <v/>
      </c>
      <c r="AF33" s="213" t="str">
        <f t="shared" si="1"/>
        <v/>
      </c>
      <c r="AG33" s="212" t="str">
        <f>IFERROR(INDEX(V!$R:$R,MATCH(AH33,V!$L:$L,0)),"")</f>
        <v/>
      </c>
      <c r="AH33" s="213" t="str">
        <f t="shared" si="2"/>
        <v/>
      </c>
      <c r="AI33" s="212" t="str">
        <f>IFERROR(INDEX(V!$R:$R,MATCH(AJ33,V!$L:$L,0)),"")</f>
        <v/>
      </c>
      <c r="AJ33" s="213" t="str">
        <f t="shared" si="3"/>
        <v/>
      </c>
      <c r="AK33" s="212" t="str">
        <f>IFERROR(INDEX(V!$R:$R,MATCH(AL33,V!$L:$L,0)),"")</f>
        <v/>
      </c>
      <c r="AL33" s="213" t="str">
        <f t="shared" si="4"/>
        <v/>
      </c>
      <c r="AM33" s="212" t="str">
        <f>IFERROR(INDEX(V!$R:$R,MATCH(AN33,V!$L:$L,0)),"")</f>
        <v/>
      </c>
      <c r="AN33" s="213" t="str">
        <f t="shared" si="5"/>
        <v/>
      </c>
      <c r="AO33" s="212" t="str">
        <f>IFERROR(INDEX(V!$R:$R,MATCH(AP33,V!$L:$L,0)),"")</f>
        <v/>
      </c>
      <c r="AP33" s="213" t="str">
        <f t="shared" si="6"/>
        <v/>
      </c>
    </row>
    <row r="34" spans="1:42" hidden="1" x14ac:dyDescent="0.2">
      <c r="A34" s="188" t="s">
        <v>4</v>
      </c>
      <c r="B34" s="278"/>
      <c r="C34" s="243">
        <v>1</v>
      </c>
      <c r="D34" s="243">
        <v>2</v>
      </c>
      <c r="E34" s="243">
        <v>3</v>
      </c>
      <c r="F34" s="243"/>
      <c r="G34" s="243"/>
      <c r="H34" s="243" t="s">
        <v>130</v>
      </c>
      <c r="I34" s="161" t="s">
        <v>131</v>
      </c>
      <c r="J34" s="279" t="s">
        <v>199</v>
      </c>
      <c r="K34" s="280" t="s">
        <v>200</v>
      </c>
      <c r="L34" s="281" t="s">
        <v>201</v>
      </c>
      <c r="M34" s="281" t="s">
        <v>202</v>
      </c>
      <c r="N34" s="248" t="s">
        <v>132</v>
      </c>
      <c r="O34" s="248" t="s">
        <v>132</v>
      </c>
      <c r="P34" s="249" t="s">
        <v>203</v>
      </c>
      <c r="Q34" s="282" t="s">
        <v>21</v>
      </c>
      <c r="R34" s="282" t="b">
        <f>OR(AND(COUNTA(B35:B39)=3,COUNTA(C35:G39)=6),AND(COUNTA(B35:B39)=4,COUNTA(C35:G39)=12),AND(COUNTA(B35:B39)=5,COUNTA(C35:G39)=20))</f>
        <v>0</v>
      </c>
      <c r="S34" s="283" t="s">
        <v>204</v>
      </c>
      <c r="T34" s="284" t="s">
        <v>205</v>
      </c>
      <c r="U34" s="253"/>
      <c r="V34" s="253"/>
      <c r="W34" s="253"/>
      <c r="X34" s="253"/>
      <c r="Y34" s="253"/>
      <c r="Z34" s="253"/>
      <c r="AA34" s="253"/>
      <c r="AD34" s="211">
        <f t="shared" si="0"/>
        <v>0</v>
      </c>
      <c r="AE34" s="212" t="str">
        <f>IFERROR(INDEX(V!$R:$R,MATCH(AF34,V!$L:$L,0)),"")</f>
        <v/>
      </c>
      <c r="AF34" s="213" t="str">
        <f t="shared" si="1"/>
        <v/>
      </c>
      <c r="AG34" s="212" t="str">
        <f>IFERROR(INDEX(V!$R:$R,MATCH(AH34,V!$L:$L,0)),"")</f>
        <v/>
      </c>
      <c r="AH34" s="213" t="str">
        <f t="shared" si="2"/>
        <v/>
      </c>
      <c r="AI34" s="212" t="str">
        <f>IFERROR(INDEX(V!$R:$R,MATCH(AJ34,V!$L:$L,0)),"")</f>
        <v/>
      </c>
      <c r="AJ34" s="213" t="str">
        <f t="shared" si="3"/>
        <v/>
      </c>
      <c r="AK34" s="212" t="str">
        <f>IFERROR(INDEX(V!$R:$R,MATCH(AL34,V!$L:$L,0)),"")</f>
        <v/>
      </c>
      <c r="AL34" s="213" t="str">
        <f t="shared" si="4"/>
        <v/>
      </c>
      <c r="AM34" s="212" t="str">
        <f>IFERROR(INDEX(V!$R:$R,MATCH(AN34,V!$L:$L,0)),"")</f>
        <v/>
      </c>
      <c r="AN34" s="213" t="str">
        <f t="shared" si="5"/>
        <v/>
      </c>
      <c r="AO34" s="212" t="str">
        <f>IFERROR(INDEX(V!$R:$R,MATCH(AP34,V!$L:$L,0)),"")</f>
        <v/>
      </c>
      <c r="AP34" s="213" t="str">
        <f t="shared" si="6"/>
        <v/>
      </c>
    </row>
    <row r="35" spans="1:42" hidden="1" x14ac:dyDescent="0.2">
      <c r="A35" s="188">
        <v>1</v>
      </c>
      <c r="B35" s="293"/>
      <c r="C35" s="191"/>
      <c r="D35" s="190"/>
      <c r="E35" s="190"/>
      <c r="F35" s="190"/>
      <c r="G35" s="190"/>
      <c r="H35" s="189" t="str">
        <f>(IF(D35-C36&gt;0,1)+IF(E35-C37&gt;0,1)+IF(F35-C38&gt;0,1)+IF(G35-C39&gt;0,1))&amp;"-"&amp;(IF(D35-C36&lt;0,1)+IF(E35-C37&lt;0,1)+IF(F35-C38&lt;0,1)+IF(G35-C39&lt;0,1))</f>
        <v>0-0</v>
      </c>
      <c r="I35" s="163" t="str">
        <f>IF(AND(B35&lt;&gt;"",R$34=TRUE),A$34&amp;RANK(S35,S$35:S$39,0)," ")</f>
        <v xml:space="preserve"> </v>
      </c>
      <c r="J35" s="256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57">
        <f>SUM(AND(T35=T36,D35&gt;C36),AND(T35=T37,E35&gt;C37),AND(T35=T38,F35&gt;C38),AND(T35=T39,G35&gt;C39))</f>
        <v>0</v>
      </c>
      <c r="L35" s="258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59">
        <f>SUM(AND(R35=R36,D35&gt;C36),AND(R35=R37,E35&gt;C37),AND(R35=R38,F35&gt;C38),AND(R35=R39,G35&gt;C39))</f>
        <v>0</v>
      </c>
      <c r="N35" s="305" t="str">
        <f>SUM(C35:G35)&amp;"-"&amp;SUM(C35:C39)</f>
        <v>0-0</v>
      </c>
      <c r="O35" s="306">
        <f>D35+E35+F35+G35-C36-C37-C38-C39</f>
        <v>0</v>
      </c>
      <c r="P35" s="260" t="e">
        <f>SUM(C35:G35,C35:C39)/SUM(C35:C39)</f>
        <v>#DIV/0!</v>
      </c>
      <c r="Q35" s="192">
        <f>VALUE(LEFT(H35,1))</f>
        <v>0</v>
      </c>
      <c r="R35" s="193">
        <f>Q35*100000+J35*10000+K35*1000+100*L35</f>
        <v>0</v>
      </c>
      <c r="S35" s="261">
        <f>R35+M35*0.1+IF(ISNONTEXT(B35),0,0.01)+0.0001*O35</f>
        <v>0</v>
      </c>
      <c r="T35" s="262" t="str">
        <f>Q35&amp;J35</f>
        <v>00</v>
      </c>
      <c r="U35" s="253"/>
      <c r="V35" s="253"/>
      <c r="W35" s="253"/>
      <c r="X35" s="253"/>
      <c r="Y35" s="253"/>
      <c r="Z35" s="253"/>
      <c r="AA35" s="253"/>
      <c r="AD35" s="211">
        <f t="shared" si="0"/>
        <v>0</v>
      </c>
      <c r="AE35" s="212" t="str">
        <f>IFERROR(INDEX(V!$R:$R,MATCH(AF35,V!$L:$L,0)),"")</f>
        <v/>
      </c>
      <c r="AF35" s="213" t="str">
        <f t="shared" si="1"/>
        <v/>
      </c>
      <c r="AG35" s="212" t="str">
        <f>IFERROR(INDEX(V!$R:$R,MATCH(AH35,V!$L:$L,0)),"")</f>
        <v/>
      </c>
      <c r="AH35" s="213" t="str">
        <f t="shared" si="2"/>
        <v/>
      </c>
      <c r="AI35" s="212" t="str">
        <f>IFERROR(INDEX(V!$R:$R,MATCH(AJ35,V!$L:$L,0)),"")</f>
        <v/>
      </c>
      <c r="AJ35" s="213" t="str">
        <f t="shared" si="3"/>
        <v/>
      </c>
      <c r="AK35" s="212" t="str">
        <f>IFERROR(INDEX(V!$R:$R,MATCH(AL35,V!$L:$L,0)),"")</f>
        <v/>
      </c>
      <c r="AL35" s="213" t="str">
        <f t="shared" si="4"/>
        <v/>
      </c>
      <c r="AM35" s="212" t="str">
        <f>IFERROR(INDEX(V!$R:$R,MATCH(AN35,V!$L:$L,0)),"")</f>
        <v/>
      </c>
      <c r="AN35" s="213" t="str">
        <f t="shared" si="5"/>
        <v/>
      </c>
      <c r="AO35" s="212" t="str">
        <f>IFERROR(INDEX(V!$R:$R,MATCH(AP35,V!$L:$L,0)),"")</f>
        <v/>
      </c>
      <c r="AP35" s="213" t="str">
        <f t="shared" si="6"/>
        <v/>
      </c>
    </row>
    <row r="36" spans="1:42" hidden="1" x14ac:dyDescent="0.2">
      <c r="A36" s="188">
        <v>2</v>
      </c>
      <c r="B36" s="263"/>
      <c r="C36" s="190"/>
      <c r="D36" s="191"/>
      <c r="E36" s="190"/>
      <c r="F36" s="190"/>
      <c r="G36" s="190"/>
      <c r="H36" s="189" t="str">
        <f>(IF(C36-D35&gt;0,1)+IF(E36-D37&gt;0,1)+IF(F36-D38&gt;0,1)+IF(G36-D39&gt;0,1))&amp;"-"&amp;(IF(C36-D35&lt;0,1)+IF(E36-D37&lt;0,1)+IF(F36-D38&lt;0,1)+IF(G36-D39&lt;0,1))</f>
        <v>0-0</v>
      </c>
      <c r="I36" s="163" t="str">
        <f t="shared" ref="I36:I39" si="9">IF(AND(B36&lt;&gt;"",R$34=TRUE),A$34&amp;RANK(S36,S$35:S$39,0)," ")</f>
        <v xml:space="preserve"> </v>
      </c>
      <c r="J36" s="264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59">
        <f>SUM(AND(T36=T35,C36&gt;D35),AND(T36=T37,E36&gt;D37),AND(T36=T38,F36&gt;D38),AND(T36=T39,G36&gt;D39))</f>
        <v>0</v>
      </c>
      <c r="L36" s="265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59">
        <f>SUM(AND(R36=R35,C36&gt;D35),AND(R36=R37,E36&gt;D37),AND(R36=R38,F36&gt;D38),AND(R36=R39,G36&gt;D39))</f>
        <v>0</v>
      </c>
      <c r="N36" s="305" t="str">
        <f>SUM(C36:G36)&amp;"-"&amp;SUM(D35:D39)</f>
        <v>0-0</v>
      </c>
      <c r="O36" s="306">
        <f>C36+E36+F36+G36-D35-D37-D38-D39</f>
        <v>0</v>
      </c>
      <c r="P36" s="260" t="e">
        <f>SUM(C36:G36,D35:D39)/SUM(D35:D39)</f>
        <v>#DIV/0!</v>
      </c>
      <c r="Q36" s="266">
        <f>VALUE(LEFT(H36,1))</f>
        <v>0</v>
      </c>
      <c r="R36" s="193">
        <f>Q36*100000+J36*10000+K36*1000+100*L36</f>
        <v>0</v>
      </c>
      <c r="S36" s="261">
        <f>R36+M36*0.1+IF(ISNONTEXT(B36),0,0.01)+0.0001*O36</f>
        <v>0</v>
      </c>
      <c r="T36" s="262" t="str">
        <f>Q36&amp;J36</f>
        <v>00</v>
      </c>
      <c r="U36" s="253"/>
      <c r="V36" s="253"/>
      <c r="W36" s="253"/>
      <c r="X36" s="253"/>
      <c r="Y36" s="253"/>
      <c r="Z36" s="253"/>
      <c r="AA36" s="253"/>
      <c r="AD36" s="211">
        <f t="shared" si="0"/>
        <v>0</v>
      </c>
      <c r="AE36" s="212" t="str">
        <f>IFERROR(INDEX(V!$R:$R,MATCH(AF36,V!$L:$L,0)),"")</f>
        <v/>
      </c>
      <c r="AF36" s="213" t="str">
        <f t="shared" si="1"/>
        <v/>
      </c>
      <c r="AG36" s="212" t="str">
        <f>IFERROR(INDEX(V!$R:$R,MATCH(AH36,V!$L:$L,0)),"")</f>
        <v/>
      </c>
      <c r="AH36" s="213" t="str">
        <f t="shared" si="2"/>
        <v/>
      </c>
      <c r="AI36" s="212" t="str">
        <f>IFERROR(INDEX(V!$R:$R,MATCH(AJ36,V!$L:$L,0)),"")</f>
        <v/>
      </c>
      <c r="AJ36" s="213" t="str">
        <f t="shared" si="3"/>
        <v/>
      </c>
      <c r="AK36" s="212" t="str">
        <f>IFERROR(INDEX(V!$R:$R,MATCH(AL36,V!$L:$L,0)),"")</f>
        <v/>
      </c>
      <c r="AL36" s="213" t="str">
        <f t="shared" si="4"/>
        <v/>
      </c>
      <c r="AM36" s="212" t="str">
        <f>IFERROR(INDEX(V!$R:$R,MATCH(AN36,V!$L:$L,0)),"")</f>
        <v/>
      </c>
      <c r="AN36" s="213" t="str">
        <f t="shared" si="5"/>
        <v/>
      </c>
      <c r="AO36" s="212" t="str">
        <f>IFERROR(INDEX(V!$R:$R,MATCH(AP36,V!$L:$L,0)),"")</f>
        <v/>
      </c>
      <c r="AP36" s="213" t="str">
        <f t="shared" si="6"/>
        <v/>
      </c>
    </row>
    <row r="37" spans="1:42" hidden="1" x14ac:dyDescent="0.2">
      <c r="A37" s="188">
        <v>3</v>
      </c>
      <c r="B37" s="263"/>
      <c r="C37" s="190"/>
      <c r="D37" s="267"/>
      <c r="E37" s="191"/>
      <c r="F37" s="190"/>
      <c r="G37" s="190"/>
      <c r="H37" s="189" t="str">
        <f>(IF(C37-E35&gt;0,1)+IF(D37-E36&gt;0,1)+IF(F37-E38&gt;0,1)+IF(G37-E39&gt;0,1))&amp;"-"&amp;(IF(C37-E35&lt;0,1)+IF(D37-E36&lt;0,1)+IF(F37-E38&lt;0,1)+IF(G37-E39&lt;0,1))</f>
        <v>0-0</v>
      </c>
      <c r="I37" s="163" t="str">
        <f t="shared" si="9"/>
        <v xml:space="preserve"> </v>
      </c>
      <c r="J37" s="264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59">
        <f>SUM(AND(T37=T35,C37&gt;E35),AND(T37=T36,D37&gt;E36),AND(T37=T38,F37&gt;E38),AND(T37=T39,G37&gt;E39))</f>
        <v>0</v>
      </c>
      <c r="L37" s="265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59">
        <f>SUM(AND(R37=R35,C37&gt;E35),AND(R37=R36,D37&gt;E36),AND(R37=R38,F37&gt;E38),AND(R37=R39,G37&gt;E39))</f>
        <v>0</v>
      </c>
      <c r="N37" s="305" t="str">
        <f>SUM(C37:G37)&amp;"-"&amp;SUM(E35:E39)</f>
        <v>0-0</v>
      </c>
      <c r="O37" s="306">
        <f>C37+D37+F37+G37-E35-E36-E38-E39</f>
        <v>0</v>
      </c>
      <c r="P37" s="260" t="e">
        <f>SUM(C37:G37,E35:E39)/SUM(E35:E39)</f>
        <v>#DIV/0!</v>
      </c>
      <c r="Q37" s="266">
        <f>VALUE(LEFT(H37,1))</f>
        <v>0</v>
      </c>
      <c r="R37" s="193">
        <f>Q37*100000+J37*10000+K37*1000+100*L37</f>
        <v>0</v>
      </c>
      <c r="S37" s="261">
        <f>R37+M37*0.1+IF(ISNONTEXT(B37),0,0.01)+0.0001*O37</f>
        <v>0</v>
      </c>
      <c r="T37" s="262" t="str">
        <f>Q37&amp;J37</f>
        <v>00</v>
      </c>
      <c r="U37" s="253"/>
      <c r="V37" s="253"/>
      <c r="W37" s="253"/>
      <c r="X37" s="253"/>
      <c r="Y37" s="253"/>
      <c r="Z37" s="253"/>
      <c r="AA37" s="253"/>
      <c r="AD37" s="211">
        <f t="shared" si="0"/>
        <v>0</v>
      </c>
      <c r="AE37" s="212" t="str">
        <f>IFERROR(INDEX(V!$R:$R,MATCH(AF37,V!$L:$L,0)),"")</f>
        <v/>
      </c>
      <c r="AF37" s="213" t="str">
        <f t="shared" si="1"/>
        <v/>
      </c>
      <c r="AG37" s="212" t="str">
        <f>IFERROR(INDEX(V!$R:$R,MATCH(AH37,V!$L:$L,0)),"")</f>
        <v/>
      </c>
      <c r="AH37" s="213" t="str">
        <f t="shared" si="2"/>
        <v/>
      </c>
      <c r="AI37" s="212" t="str">
        <f>IFERROR(INDEX(V!$R:$R,MATCH(AJ37,V!$L:$L,0)),"")</f>
        <v/>
      </c>
      <c r="AJ37" s="213" t="str">
        <f t="shared" si="3"/>
        <v/>
      </c>
      <c r="AK37" s="212" t="str">
        <f>IFERROR(INDEX(V!$R:$R,MATCH(AL37,V!$L:$L,0)),"")</f>
        <v/>
      </c>
      <c r="AL37" s="213" t="str">
        <f t="shared" si="4"/>
        <v/>
      </c>
      <c r="AM37" s="212" t="str">
        <f>IFERROR(INDEX(V!$R:$R,MATCH(AN37,V!$L:$L,0)),"")</f>
        <v/>
      </c>
      <c r="AN37" s="213" t="str">
        <f t="shared" si="5"/>
        <v/>
      </c>
      <c r="AO37" s="212" t="str">
        <f>IFERROR(INDEX(V!$R:$R,MATCH(AP37,V!$L:$L,0)),"")</f>
        <v/>
      </c>
      <c r="AP37" s="213" t="str">
        <f t="shared" si="6"/>
        <v/>
      </c>
    </row>
    <row r="38" spans="1:42" hidden="1" x14ac:dyDescent="0.2">
      <c r="A38" s="188">
        <v>4</v>
      </c>
      <c r="B38" s="268"/>
      <c r="C38" s="190"/>
      <c r="D38" s="267"/>
      <c r="E38" s="190"/>
      <c r="F38" s="191"/>
      <c r="G38" s="286"/>
      <c r="H38" s="189" t="str">
        <f>(IF(C38-F35&gt;0,1)+IF(D38-F36&gt;0,1)+IF(E38-F37&gt;0,1)+IF(G38-F39&gt;0,1))&amp;"-"&amp;(IF(C38-F35&lt;0,1)+IF(D38-F36&lt;0,1)+IF(E38-F37&lt;0,1)+IF(G38-F39&lt;0,1))</f>
        <v>0-0</v>
      </c>
      <c r="I38" s="163" t="str">
        <f t="shared" si="9"/>
        <v xml:space="preserve"> </v>
      </c>
      <c r="J38" s="264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59">
        <f>SUM(AND(T38=T35,C38&gt;F35),AND(T38=T36,D38&gt;F36),AND(T38=T37,E38&gt;F37),AND(T38=T39,G38&gt;F39))</f>
        <v>0</v>
      </c>
      <c r="L38" s="265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59">
        <f>SUM(AND(R38=R35,C38&gt;F35),AND(R38=R36,D38&gt;F36),AND(R38=R37,E38&gt;F37),AND(R38=R39,G38&gt;F39))</f>
        <v>0</v>
      </c>
      <c r="N38" s="305" t="str">
        <f>SUM(C38:G38)&amp;"-"&amp;SUM(F35:F39)</f>
        <v>0-0</v>
      </c>
      <c r="O38" s="306">
        <f>C38+D38+E38+G38-F35-F36-F37-F39</f>
        <v>0</v>
      </c>
      <c r="P38" s="260" t="e">
        <f>SUM(C38:G38,F35:F39)/SUM(F35:F39)</f>
        <v>#DIV/0!</v>
      </c>
      <c r="Q38" s="266">
        <f>VALUE(LEFT(H38,1))</f>
        <v>0</v>
      </c>
      <c r="R38" s="193">
        <f>Q38*100000+J38*10000+K38*1000+100*L38</f>
        <v>0</v>
      </c>
      <c r="S38" s="261">
        <f>R38+M38*0.1+IF(ISNONTEXT(B38),0,0.01)+0.0001*O38</f>
        <v>0</v>
      </c>
      <c r="T38" s="262" t="str">
        <f>Q38&amp;J38</f>
        <v>00</v>
      </c>
      <c r="U38" s="253"/>
      <c r="V38" s="253"/>
      <c r="W38" s="253"/>
      <c r="X38" s="253"/>
      <c r="Y38" s="253"/>
      <c r="Z38" s="253"/>
      <c r="AA38" s="253"/>
      <c r="AD38" s="211">
        <f t="shared" si="0"/>
        <v>0</v>
      </c>
      <c r="AE38" s="212" t="str">
        <f>IFERROR(INDEX(V!$R:$R,MATCH(AF38,V!$L:$L,0)),"")</f>
        <v/>
      </c>
      <c r="AF38" s="213" t="str">
        <f t="shared" si="1"/>
        <v/>
      </c>
      <c r="AG38" s="212" t="str">
        <f>IFERROR(INDEX(V!$R:$R,MATCH(AH38,V!$L:$L,0)),"")</f>
        <v/>
      </c>
      <c r="AH38" s="213" t="str">
        <f t="shared" si="2"/>
        <v/>
      </c>
      <c r="AI38" s="212" t="str">
        <f>IFERROR(INDEX(V!$R:$R,MATCH(AJ38,V!$L:$L,0)),"")</f>
        <v/>
      </c>
      <c r="AJ38" s="213" t="str">
        <f t="shared" si="3"/>
        <v/>
      </c>
      <c r="AK38" s="212" t="str">
        <f>IFERROR(INDEX(V!$R:$R,MATCH(AL38,V!$L:$L,0)),"")</f>
        <v/>
      </c>
      <c r="AL38" s="213" t="str">
        <f t="shared" si="4"/>
        <v/>
      </c>
      <c r="AM38" s="212" t="str">
        <f>IFERROR(INDEX(V!$R:$R,MATCH(AN38,V!$L:$L,0)),"")</f>
        <v/>
      </c>
      <c r="AN38" s="213" t="str">
        <f t="shared" si="5"/>
        <v/>
      </c>
      <c r="AO38" s="212" t="str">
        <f>IFERROR(INDEX(V!$R:$R,MATCH(AP38,V!$L:$L,0)),"")</f>
        <v/>
      </c>
      <c r="AP38" s="213" t="str">
        <f t="shared" si="6"/>
        <v/>
      </c>
    </row>
    <row r="39" spans="1:42" hidden="1" x14ac:dyDescent="0.2">
      <c r="A39" s="188">
        <v>5</v>
      </c>
      <c r="B39" s="268"/>
      <c r="C39" s="190"/>
      <c r="D39" s="190"/>
      <c r="E39" s="190"/>
      <c r="F39" s="190"/>
      <c r="G39" s="191"/>
      <c r="H39" s="189" t="str">
        <f>(IF(C39-G35&gt;0,1)+IF(D39-G36&gt;0,1)+IF(E39-G37&gt;0,1)+IF(F39-G38&gt;0,1))&amp;"-"&amp;(IF(C39-G35&lt;0,1)+IF(D39-G36&lt;0,1)+IF(E39-G37&lt;0,1)+IF(F39-G38&lt;0,1))</f>
        <v>0-0</v>
      </c>
      <c r="I39" s="163" t="str">
        <f t="shared" si="9"/>
        <v xml:space="preserve"> </v>
      </c>
      <c r="J39" s="264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59">
        <f>SUM(AND(T39=T35,C39&gt;G35),AND(T39=T36,D39&gt;G36),AND(T39=T37,E39&gt;G37),AND(T39=T38,F39&gt;G38))</f>
        <v>0</v>
      </c>
      <c r="L39" s="265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59">
        <f>SUM(AND(R39=R35,C39&gt;G35),AND(R39=R36,D39&gt;G36),AND(R39=R37,E39&gt;G37),AND(R39=R38,F39&gt;G38))</f>
        <v>0</v>
      </c>
      <c r="N39" s="305" t="str">
        <f>SUM(C39:G39)&amp;"-"&amp;SUM(G35:G39)</f>
        <v>0-0</v>
      </c>
      <c r="O39" s="306">
        <f>C39+D39+E39+F39-G35-G36-G37-G38</f>
        <v>0</v>
      </c>
      <c r="P39" s="260" t="e">
        <f>SUM(C39:G39,G35:G39)/SUM(G35:G39)</f>
        <v>#DIV/0!</v>
      </c>
      <c r="Q39" s="266">
        <f>VALUE(LEFT(H39,1))</f>
        <v>0</v>
      </c>
      <c r="R39" s="193">
        <f>Q39*100000+J39*10000+K39*1000+100*L39</f>
        <v>0</v>
      </c>
      <c r="S39" s="261">
        <f>R39+M39*0.1+IF(ISNONTEXT(B39),0,0.01)+0.0001*O39</f>
        <v>0</v>
      </c>
      <c r="T39" s="262" t="str">
        <f>Q39&amp;J39</f>
        <v>00</v>
      </c>
      <c r="U39" s="253"/>
      <c r="V39" s="253"/>
      <c r="W39" s="253"/>
      <c r="X39" s="253"/>
      <c r="Y39" s="253"/>
      <c r="Z39" s="253"/>
      <c r="AA39" s="253"/>
      <c r="AD39" s="211">
        <f t="shared" si="0"/>
        <v>0</v>
      </c>
      <c r="AE39" s="212" t="str">
        <f>IFERROR(INDEX(V!$R:$R,MATCH(AF39,V!$L:$L,0)),"")</f>
        <v/>
      </c>
      <c r="AF39" s="213" t="str">
        <f t="shared" si="1"/>
        <v/>
      </c>
      <c r="AG39" s="212" t="str">
        <f>IFERROR(INDEX(V!$R:$R,MATCH(AH39,V!$L:$L,0)),"")</f>
        <v/>
      </c>
      <c r="AH39" s="213" t="str">
        <f t="shared" si="2"/>
        <v/>
      </c>
      <c r="AI39" s="212" t="str">
        <f>IFERROR(INDEX(V!$R:$R,MATCH(AJ39,V!$L:$L,0)),"")</f>
        <v/>
      </c>
      <c r="AJ39" s="213" t="str">
        <f t="shared" si="3"/>
        <v/>
      </c>
      <c r="AK39" s="212" t="str">
        <f>IFERROR(INDEX(V!$R:$R,MATCH(AL39,V!$L:$L,0)),"")</f>
        <v/>
      </c>
      <c r="AL39" s="213" t="str">
        <f t="shared" si="4"/>
        <v/>
      </c>
      <c r="AM39" s="212" t="str">
        <f>IFERROR(INDEX(V!$R:$R,MATCH(AN39,V!$L:$L,0)),"")</f>
        <v/>
      </c>
      <c r="AN39" s="213" t="str">
        <f t="shared" si="5"/>
        <v/>
      </c>
      <c r="AO39" s="212" t="str">
        <f>IFERROR(INDEX(V!$R:$R,MATCH(AP39,V!$L:$L,0)),"")</f>
        <v/>
      </c>
      <c r="AP39" s="213" t="str">
        <f t="shared" si="6"/>
        <v/>
      </c>
    </row>
    <row r="40" spans="1:42" hidden="1" x14ac:dyDescent="0.2">
      <c r="A40" s="269"/>
      <c r="B40" s="270"/>
      <c r="C40" s="271"/>
      <c r="D40" s="272"/>
      <c r="E40" s="271"/>
      <c r="F40" s="273"/>
      <c r="G40" s="274"/>
      <c r="H40" s="275"/>
      <c r="I40" s="174"/>
      <c r="J40" s="253"/>
      <c r="K40" s="253"/>
      <c r="L40" s="253"/>
      <c r="M40" s="253"/>
      <c r="N40" s="307"/>
      <c r="O40" s="307"/>
      <c r="P40" s="253"/>
      <c r="Q40" s="253"/>
      <c r="R40" s="277" t="s">
        <v>206</v>
      </c>
      <c r="S40" s="253"/>
      <c r="T40" s="253"/>
      <c r="U40" s="253"/>
      <c r="V40" s="253"/>
      <c r="W40" s="253"/>
      <c r="X40" s="253"/>
      <c r="Y40" s="253"/>
      <c r="Z40" s="253"/>
      <c r="AA40" s="253"/>
      <c r="AD40" s="211">
        <f t="shared" si="0"/>
        <v>0</v>
      </c>
      <c r="AE40" s="212" t="str">
        <f>IFERROR(INDEX(V!$R:$R,MATCH(AF40,V!$L:$L,0)),"")</f>
        <v/>
      </c>
      <c r="AF40" s="213" t="str">
        <f t="shared" si="1"/>
        <v/>
      </c>
      <c r="AG40" s="212" t="str">
        <f>IFERROR(INDEX(V!$R:$R,MATCH(AH40,V!$L:$L,0)),"")</f>
        <v/>
      </c>
      <c r="AH40" s="213" t="str">
        <f t="shared" si="2"/>
        <v/>
      </c>
      <c r="AI40" s="212" t="str">
        <f>IFERROR(INDEX(V!$R:$R,MATCH(AJ40,V!$L:$L,0)),"")</f>
        <v/>
      </c>
      <c r="AJ40" s="213" t="str">
        <f t="shared" si="3"/>
        <v/>
      </c>
      <c r="AK40" s="212" t="str">
        <f>IFERROR(INDEX(V!$R:$R,MATCH(AL40,V!$L:$L,0)),"")</f>
        <v/>
      </c>
      <c r="AL40" s="213" t="str">
        <f t="shared" si="4"/>
        <v/>
      </c>
      <c r="AM40" s="212" t="str">
        <f>IFERROR(INDEX(V!$R:$R,MATCH(AN40,V!$L:$L,0)),"")</f>
        <v/>
      </c>
      <c r="AN40" s="213" t="str">
        <f t="shared" si="5"/>
        <v/>
      </c>
      <c r="AO40" s="212" t="str">
        <f>IFERROR(INDEX(V!$R:$R,MATCH(AP40,V!$L:$L,0)),"")</f>
        <v/>
      </c>
      <c r="AP40" s="213" t="str">
        <f t="shared" si="6"/>
        <v/>
      </c>
    </row>
    <row r="41" spans="1:42" hidden="1" x14ac:dyDescent="0.2">
      <c r="A41" s="188" t="s">
        <v>5</v>
      </c>
      <c r="B41" s="278"/>
      <c r="C41" s="243">
        <v>1</v>
      </c>
      <c r="D41" s="243">
        <v>2</v>
      </c>
      <c r="E41" s="243">
        <v>3</v>
      </c>
      <c r="F41" s="243"/>
      <c r="G41" s="243"/>
      <c r="H41" s="244" t="s">
        <v>130</v>
      </c>
      <c r="I41" s="161" t="s">
        <v>131</v>
      </c>
      <c r="J41" s="279" t="s">
        <v>199</v>
      </c>
      <c r="K41" s="280" t="s">
        <v>200</v>
      </c>
      <c r="L41" s="281" t="s">
        <v>201</v>
      </c>
      <c r="M41" s="281" t="s">
        <v>202</v>
      </c>
      <c r="N41" s="248" t="s">
        <v>132</v>
      </c>
      <c r="O41" s="248" t="s">
        <v>132</v>
      </c>
      <c r="P41" s="249" t="s">
        <v>203</v>
      </c>
      <c r="Q41" s="282" t="s">
        <v>21</v>
      </c>
      <c r="R41" s="282" t="b">
        <f>OR(AND(COUNTA(B42:B46)=3,COUNTA(C42:G46)=6),AND(COUNTA(B42:B46)=4,COUNTA(C42:G46)=12),AND(COUNTA(B42:B46)=5,COUNTA(C42:G46)=20))</f>
        <v>0</v>
      </c>
      <c r="S41" s="283" t="s">
        <v>204</v>
      </c>
      <c r="T41" s="284" t="s">
        <v>205</v>
      </c>
      <c r="U41" s="253"/>
      <c r="V41" s="253"/>
      <c r="W41" s="253"/>
      <c r="X41" s="253"/>
      <c r="Y41" s="253"/>
      <c r="Z41" s="253"/>
      <c r="AA41" s="253"/>
      <c r="AD41" s="211">
        <f t="shared" si="0"/>
        <v>0</v>
      </c>
      <c r="AE41" s="212" t="str">
        <f>IFERROR(INDEX(V!$R:$R,MATCH(AF41,V!$L:$L,0)),"")</f>
        <v/>
      </c>
      <c r="AF41" s="213" t="str">
        <f t="shared" si="1"/>
        <v/>
      </c>
      <c r="AG41" s="212" t="str">
        <f>IFERROR(INDEX(V!$R:$R,MATCH(AH41,V!$L:$L,0)),"")</f>
        <v/>
      </c>
      <c r="AH41" s="213" t="str">
        <f t="shared" si="2"/>
        <v/>
      </c>
      <c r="AI41" s="212" t="str">
        <f>IFERROR(INDEX(V!$R:$R,MATCH(AJ41,V!$L:$L,0)),"")</f>
        <v/>
      </c>
      <c r="AJ41" s="213" t="str">
        <f t="shared" si="3"/>
        <v/>
      </c>
      <c r="AK41" s="212" t="str">
        <f>IFERROR(INDEX(V!$R:$R,MATCH(AL41,V!$L:$L,0)),"")</f>
        <v/>
      </c>
      <c r="AL41" s="213" t="str">
        <f t="shared" si="4"/>
        <v/>
      </c>
      <c r="AM41" s="212" t="str">
        <f>IFERROR(INDEX(V!$R:$R,MATCH(AN41,V!$L:$L,0)),"")</f>
        <v/>
      </c>
      <c r="AN41" s="213" t="str">
        <f t="shared" si="5"/>
        <v/>
      </c>
      <c r="AO41" s="212" t="str">
        <f>IFERROR(INDEX(V!$R:$R,MATCH(AP41,V!$L:$L,0)),"")</f>
        <v/>
      </c>
      <c r="AP41" s="213" t="str">
        <f t="shared" si="6"/>
        <v/>
      </c>
    </row>
    <row r="42" spans="1:42" hidden="1" x14ac:dyDescent="0.2">
      <c r="A42" s="188">
        <v>1</v>
      </c>
      <c r="B42" s="293"/>
      <c r="C42" s="191"/>
      <c r="D42" s="190"/>
      <c r="E42" s="190"/>
      <c r="F42" s="190"/>
      <c r="G42" s="190"/>
      <c r="H42" s="189" t="str">
        <f>(IF(D42-C43&gt;0,1)+IF(E42-C44&gt;0,1)+IF(F42-C45&gt;0,1)+IF(G42-C46&gt;0,1))&amp;"-"&amp;(IF(D42-C43&lt;0,1)+IF(E42-C44&lt;0,1)+IF(F42-C45&lt;0,1)+IF(G42-C46&lt;0,1))</f>
        <v>0-0</v>
      </c>
      <c r="I42" s="163" t="str">
        <f>IF(AND(B42&lt;&gt;"",R$41=TRUE),A$41&amp;RANK(S42,S$42:S$46,0)," ")</f>
        <v xml:space="preserve"> </v>
      </c>
      <c r="J42" s="256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57">
        <f>SUM(AND(T42=T43,D42&gt;C43),AND(T42=T44,E42&gt;C44),AND(T42=T45,F42&gt;C45),AND(T42=T46,G42&gt;C46))</f>
        <v>0</v>
      </c>
      <c r="L42" s="258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59">
        <f>SUM(AND(R42=R43,D42&gt;C43),AND(R42=R44,E42&gt;C44),AND(R42=R45,F42&gt;C45),AND(R42=R46,G42&gt;C46))</f>
        <v>0</v>
      </c>
      <c r="N42" s="305" t="str">
        <f>SUM(C42:G42)&amp;"-"&amp;SUM(C42:C46)</f>
        <v>0-0</v>
      </c>
      <c r="O42" s="306">
        <f>D42+E42+F42+G42-C43-C44-C45-C46</f>
        <v>0</v>
      </c>
      <c r="P42" s="260" t="e">
        <f>SUM(C42:G42,C42:C46)/SUM(C42:C46)</f>
        <v>#DIV/0!</v>
      </c>
      <c r="Q42" s="192">
        <f>VALUE(LEFT(H42,1))</f>
        <v>0</v>
      </c>
      <c r="R42" s="193">
        <f>Q42*100000+J42*10000+K42*1000+100*L42</f>
        <v>0</v>
      </c>
      <c r="S42" s="261">
        <f>R42+M42*0.1+IF(ISNONTEXT(B42),0,0.01)+0.0001*O42</f>
        <v>0</v>
      </c>
      <c r="T42" s="262" t="str">
        <f>Q42&amp;J42</f>
        <v>00</v>
      </c>
      <c r="U42" s="253"/>
      <c r="V42" s="253"/>
      <c r="W42" s="253"/>
      <c r="X42" s="253"/>
      <c r="Y42" s="253"/>
      <c r="Z42" s="253"/>
      <c r="AA42" s="253"/>
      <c r="AD42" s="211">
        <f t="shared" si="0"/>
        <v>0</v>
      </c>
      <c r="AE42" s="212" t="str">
        <f>IFERROR(INDEX(V!$R:$R,MATCH(AF42,V!$L:$L,0)),"")</f>
        <v/>
      </c>
      <c r="AF42" s="213" t="str">
        <f t="shared" si="1"/>
        <v/>
      </c>
      <c r="AG42" s="212" t="str">
        <f>IFERROR(INDEX(V!$R:$R,MATCH(AH42,V!$L:$L,0)),"")</f>
        <v/>
      </c>
      <c r="AH42" s="213" t="str">
        <f t="shared" si="2"/>
        <v/>
      </c>
      <c r="AI42" s="212" t="str">
        <f>IFERROR(INDEX(V!$R:$R,MATCH(AJ42,V!$L:$L,0)),"")</f>
        <v/>
      </c>
      <c r="AJ42" s="213" t="str">
        <f t="shared" si="3"/>
        <v/>
      </c>
      <c r="AK42" s="212" t="str">
        <f>IFERROR(INDEX(V!$R:$R,MATCH(AL42,V!$L:$L,0)),"")</f>
        <v/>
      </c>
      <c r="AL42" s="213" t="str">
        <f t="shared" si="4"/>
        <v/>
      </c>
      <c r="AM42" s="212" t="str">
        <f>IFERROR(INDEX(V!$R:$R,MATCH(AN42,V!$L:$L,0)),"")</f>
        <v/>
      </c>
      <c r="AN42" s="213" t="str">
        <f t="shared" si="5"/>
        <v/>
      </c>
      <c r="AO42" s="212" t="str">
        <f>IFERROR(INDEX(V!$R:$R,MATCH(AP42,V!$L:$L,0)),"")</f>
        <v/>
      </c>
      <c r="AP42" s="213" t="str">
        <f t="shared" si="6"/>
        <v/>
      </c>
    </row>
    <row r="43" spans="1:42" hidden="1" x14ac:dyDescent="0.2">
      <c r="A43" s="188">
        <v>2</v>
      </c>
      <c r="B43" s="263"/>
      <c r="C43" s="190"/>
      <c r="D43" s="191"/>
      <c r="E43" s="190"/>
      <c r="F43" s="190"/>
      <c r="G43" s="190"/>
      <c r="H43" s="189" t="str">
        <f>(IF(C43-D42&gt;0,1)+IF(E43-D44&gt;0,1)+IF(F43-D45&gt;0,1)+IF(G43-D46&gt;0,1))&amp;"-"&amp;(IF(C43-D42&lt;0,1)+IF(E43-D44&lt;0,1)+IF(F43-D45&lt;0,1)+IF(G43-D46&lt;0,1))</f>
        <v>0-0</v>
      </c>
      <c r="I43" s="163" t="str">
        <f t="shared" ref="I43:I46" si="10">IF(AND(B43&lt;&gt;"",R$41=TRUE),A$41&amp;RANK(S43,S$42:S$46,0)," ")</f>
        <v xml:space="preserve"> </v>
      </c>
      <c r="J43" s="264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59">
        <f>SUM(AND(T43=T42,C43&gt;D42),AND(T43=T44,E43&gt;D44),AND(T43=T45,F43&gt;D45),AND(T43=T46,G43&gt;D46))</f>
        <v>0</v>
      </c>
      <c r="L43" s="265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59">
        <f>SUM(AND(R43=R42,C43&gt;D42),AND(R43=R44,E43&gt;D44),AND(R43=R45,F43&gt;D45),AND(R43=R46,G43&gt;D46))</f>
        <v>0</v>
      </c>
      <c r="N43" s="305" t="str">
        <f>SUM(C43:G43)&amp;"-"&amp;SUM(D42:D46)</f>
        <v>0-0</v>
      </c>
      <c r="O43" s="306">
        <f>C43+E43+F43+G43-D42-D44-D45-D46</f>
        <v>0</v>
      </c>
      <c r="P43" s="260" t="e">
        <f>SUM(C43:G43,D42:D46)/SUM(D42:D46)</f>
        <v>#DIV/0!</v>
      </c>
      <c r="Q43" s="266">
        <f>VALUE(LEFT(H43,1))</f>
        <v>0</v>
      </c>
      <c r="R43" s="193">
        <f>Q43*100000+J43*10000+K43*1000+100*L43</f>
        <v>0</v>
      </c>
      <c r="S43" s="261">
        <f>R43+M43*0.1+IF(ISNONTEXT(B43),0,0.01)+0.0001*O43</f>
        <v>0</v>
      </c>
      <c r="T43" s="262" t="str">
        <f>Q43&amp;J43</f>
        <v>00</v>
      </c>
      <c r="U43" s="253"/>
      <c r="V43" s="253"/>
      <c r="W43" s="253"/>
      <c r="X43" s="253"/>
      <c r="Y43" s="253"/>
      <c r="Z43" s="253"/>
      <c r="AA43" s="253"/>
      <c r="AD43" s="211">
        <f t="shared" si="0"/>
        <v>0</v>
      </c>
      <c r="AE43" s="212" t="str">
        <f>IFERROR(INDEX(V!$R:$R,MATCH(AF43,V!$L:$L,0)),"")</f>
        <v/>
      </c>
      <c r="AF43" s="213" t="str">
        <f t="shared" si="1"/>
        <v/>
      </c>
      <c r="AG43" s="212" t="str">
        <f>IFERROR(INDEX(V!$R:$R,MATCH(AH43,V!$L:$L,0)),"")</f>
        <v/>
      </c>
      <c r="AH43" s="213" t="str">
        <f t="shared" si="2"/>
        <v/>
      </c>
      <c r="AI43" s="212" t="str">
        <f>IFERROR(INDEX(V!$R:$R,MATCH(AJ43,V!$L:$L,0)),"")</f>
        <v/>
      </c>
      <c r="AJ43" s="213" t="str">
        <f t="shared" si="3"/>
        <v/>
      </c>
      <c r="AK43" s="212" t="str">
        <f>IFERROR(INDEX(V!$R:$R,MATCH(AL43,V!$L:$L,0)),"")</f>
        <v/>
      </c>
      <c r="AL43" s="213" t="str">
        <f t="shared" si="4"/>
        <v/>
      </c>
      <c r="AM43" s="212" t="str">
        <f>IFERROR(INDEX(V!$R:$R,MATCH(AN43,V!$L:$L,0)),"")</f>
        <v/>
      </c>
      <c r="AN43" s="213" t="str">
        <f t="shared" si="5"/>
        <v/>
      </c>
      <c r="AO43" s="212" t="str">
        <f>IFERROR(INDEX(V!$R:$R,MATCH(AP43,V!$L:$L,0)),"")</f>
        <v/>
      </c>
      <c r="AP43" s="213" t="str">
        <f t="shared" si="6"/>
        <v/>
      </c>
    </row>
    <row r="44" spans="1:42" hidden="1" x14ac:dyDescent="0.2">
      <c r="A44" s="188">
        <v>3</v>
      </c>
      <c r="B44" s="263"/>
      <c r="C44" s="190"/>
      <c r="D44" s="267"/>
      <c r="E44" s="191"/>
      <c r="F44" s="190"/>
      <c r="G44" s="190"/>
      <c r="H44" s="189" t="str">
        <f>(IF(C44-E42&gt;0,1)+IF(D44-E43&gt;0,1)+IF(F44-E45&gt;0,1)+IF(G44-E46&gt;0,1))&amp;"-"&amp;(IF(C44-E42&lt;0,1)+IF(D44-E43&lt;0,1)+IF(F44-E45&lt;0,1)+IF(G44-E46&lt;0,1))</f>
        <v>0-0</v>
      </c>
      <c r="I44" s="163" t="str">
        <f t="shared" si="10"/>
        <v xml:space="preserve"> </v>
      </c>
      <c r="J44" s="264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59">
        <f>SUM(AND(T44=T42,C44&gt;E42),AND(T44=T43,D44&gt;E43),AND(T44=T45,F44&gt;E45),AND(T44=T46,G44&gt;E46))</f>
        <v>0</v>
      </c>
      <c r="L44" s="265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59">
        <f>SUM(AND(R44=R42,C44&gt;E42),AND(R44=R43,D44&gt;E43),AND(R44=R45,F44&gt;E45),AND(R44=R46,G44&gt;E46))</f>
        <v>0</v>
      </c>
      <c r="N44" s="305" t="str">
        <f>SUM(C44:G44)&amp;"-"&amp;SUM(E42:E46)</f>
        <v>0-0</v>
      </c>
      <c r="O44" s="306">
        <f>C44+D44+F44+G44-E42-E43-E45-E46</f>
        <v>0</v>
      </c>
      <c r="P44" s="260" t="e">
        <f>SUM(C44:G44,E42:E46)/SUM(E42:E46)</f>
        <v>#DIV/0!</v>
      </c>
      <c r="Q44" s="266">
        <f>VALUE(LEFT(H44,1))</f>
        <v>0</v>
      </c>
      <c r="R44" s="193">
        <f>Q44*100000+J44*10000+K44*1000+100*L44</f>
        <v>0</v>
      </c>
      <c r="S44" s="261">
        <f>R44+M44*0.1+IF(ISNONTEXT(B44),0,0.01)+0.0001*O44</f>
        <v>0</v>
      </c>
      <c r="T44" s="262" t="str">
        <f>Q44&amp;J44</f>
        <v>00</v>
      </c>
      <c r="U44" s="253"/>
      <c r="V44" s="253"/>
      <c r="W44" s="253"/>
      <c r="X44" s="253"/>
      <c r="Y44" s="253"/>
      <c r="Z44" s="253"/>
      <c r="AA44" s="253"/>
      <c r="AD44" s="211">
        <f t="shared" si="0"/>
        <v>0</v>
      </c>
      <c r="AE44" s="212" t="str">
        <f>IFERROR(INDEX(V!$R:$R,MATCH(AF44,V!$L:$L,0)),"")</f>
        <v/>
      </c>
      <c r="AF44" s="213" t="str">
        <f t="shared" si="1"/>
        <v/>
      </c>
      <c r="AG44" s="212" t="str">
        <f>IFERROR(INDEX(V!$R:$R,MATCH(AH44,V!$L:$L,0)),"")</f>
        <v/>
      </c>
      <c r="AH44" s="213" t="str">
        <f t="shared" si="2"/>
        <v/>
      </c>
      <c r="AI44" s="212" t="str">
        <f>IFERROR(INDEX(V!$R:$R,MATCH(AJ44,V!$L:$L,0)),"")</f>
        <v/>
      </c>
      <c r="AJ44" s="213" t="str">
        <f t="shared" si="3"/>
        <v/>
      </c>
      <c r="AK44" s="212" t="str">
        <f>IFERROR(INDEX(V!$R:$R,MATCH(AL44,V!$L:$L,0)),"")</f>
        <v/>
      </c>
      <c r="AL44" s="213" t="str">
        <f t="shared" si="4"/>
        <v/>
      </c>
      <c r="AM44" s="212" t="str">
        <f>IFERROR(INDEX(V!$R:$R,MATCH(AN44,V!$L:$L,0)),"")</f>
        <v/>
      </c>
      <c r="AN44" s="213" t="str">
        <f t="shared" si="5"/>
        <v/>
      </c>
      <c r="AO44" s="212" t="str">
        <f>IFERROR(INDEX(V!$R:$R,MATCH(AP44,V!$L:$L,0)),"")</f>
        <v/>
      </c>
      <c r="AP44" s="213" t="str">
        <f t="shared" si="6"/>
        <v/>
      </c>
    </row>
    <row r="45" spans="1:42" hidden="1" x14ac:dyDescent="0.2">
      <c r="A45" s="188">
        <v>4</v>
      </c>
      <c r="B45" s="268"/>
      <c r="C45" s="190"/>
      <c r="D45" s="267"/>
      <c r="E45" s="190"/>
      <c r="F45" s="191"/>
      <c r="G45" s="286"/>
      <c r="H45" s="189" t="str">
        <f>(IF(C45-F42&gt;0,1)+IF(D45-F43&gt;0,1)+IF(E45-F44&gt;0,1)+IF(G45-F46&gt;0,1))&amp;"-"&amp;(IF(C45-F42&lt;0,1)+IF(D45-F43&lt;0,1)+IF(E45-F44&lt;0,1)+IF(G45-F46&lt;0,1))</f>
        <v>0-0</v>
      </c>
      <c r="I45" s="163" t="str">
        <f t="shared" si="10"/>
        <v xml:space="preserve"> </v>
      </c>
      <c r="J45" s="264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59">
        <f>SUM(AND(T45=T42,C45&gt;F42),AND(T45=T43,D45&gt;F43),AND(T45=T44,E45&gt;F44),AND(T45=T46,G45&gt;F46))</f>
        <v>0</v>
      </c>
      <c r="L45" s="265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59">
        <f>SUM(AND(R45=R42,C45&gt;F42),AND(R45=R43,D45&gt;F43),AND(R45=R44,E45&gt;F44),AND(R45=R46,G45&gt;F46))</f>
        <v>0</v>
      </c>
      <c r="N45" s="305" t="str">
        <f>SUM(C45:G45)&amp;"-"&amp;SUM(F42:F46)</f>
        <v>0-0</v>
      </c>
      <c r="O45" s="306">
        <f>C45+D45+E45+G45-F42-F43-F44-F46</f>
        <v>0</v>
      </c>
      <c r="P45" s="260" t="e">
        <f>SUM(C45:G45,F42:F46)/SUM(F42:F46)</f>
        <v>#DIV/0!</v>
      </c>
      <c r="Q45" s="266">
        <f>VALUE(LEFT(H45,1))</f>
        <v>0</v>
      </c>
      <c r="R45" s="193">
        <f>Q45*100000+J45*10000+K45*1000+100*L45</f>
        <v>0</v>
      </c>
      <c r="S45" s="261">
        <f>R45+M45*0.1+IF(ISNONTEXT(B45),0,0.01)+0.0001*O45</f>
        <v>0</v>
      </c>
      <c r="T45" s="262" t="str">
        <f>Q45&amp;J45</f>
        <v>00</v>
      </c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</row>
    <row r="46" spans="1:42" hidden="1" x14ac:dyDescent="0.2">
      <c r="A46" s="188">
        <v>5</v>
      </c>
      <c r="B46" s="268"/>
      <c r="C46" s="190"/>
      <c r="D46" s="190"/>
      <c r="E46" s="190"/>
      <c r="F46" s="190"/>
      <c r="G46" s="191"/>
      <c r="H46" s="189" t="str">
        <f>(IF(C46-G42&gt;0,1)+IF(D46-G43&gt;0,1)+IF(E46-G44&gt;0,1)+IF(F46-G45&gt;0,1))&amp;"-"&amp;(IF(C46-G42&lt;0,1)+IF(D46-G43&lt;0,1)+IF(E46-G44&lt;0,1)+IF(F46-G45&lt;0,1))</f>
        <v>0-0</v>
      </c>
      <c r="I46" s="163" t="str">
        <f t="shared" si="10"/>
        <v xml:space="preserve"> </v>
      </c>
      <c r="J46" s="264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59">
        <f>SUM(AND(T46=T42,C46&gt;G42),AND(T46=T43,D46&gt;G43),AND(T46=T44,E46&gt;G44),AND(T46=T45,F46&gt;G45))</f>
        <v>0</v>
      </c>
      <c r="L46" s="265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59">
        <f>SUM(AND(R46=R42,C46&gt;G42),AND(R46=R43,D46&gt;G43),AND(R46=R44,E46&gt;G44),AND(R46=R45,F46&gt;G45))</f>
        <v>0</v>
      </c>
      <c r="N46" s="305" t="str">
        <f>SUM(C46:G46)&amp;"-"&amp;SUM(G42:G46)</f>
        <v>0-0</v>
      </c>
      <c r="O46" s="306">
        <f>C46+D46+E46+F46-G42-G43-G44-G45</f>
        <v>0</v>
      </c>
      <c r="P46" s="260" t="e">
        <f>SUM(C46:G46,G42:G46)/SUM(G42:G46)</f>
        <v>#DIV/0!</v>
      </c>
      <c r="Q46" s="266">
        <f>VALUE(LEFT(H46,1))</f>
        <v>0</v>
      </c>
      <c r="R46" s="193">
        <f>Q46*100000+J46*10000+K46*1000+100*L46</f>
        <v>0</v>
      </c>
      <c r="S46" s="261">
        <f>R46+M46*0.1+IF(ISNONTEXT(B46),0,0.01)+0.0001*O46</f>
        <v>0</v>
      </c>
      <c r="T46" s="262" t="str">
        <f>Q46&amp;J46</f>
        <v>00</v>
      </c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</row>
    <row r="47" spans="1:42" hidden="1" x14ac:dyDescent="0.2">
      <c r="A47" s="269"/>
      <c r="B47" s="270"/>
      <c r="C47" s="271"/>
      <c r="D47" s="272"/>
      <c r="E47" s="271"/>
      <c r="F47" s="273"/>
      <c r="G47" s="274"/>
      <c r="H47" s="275"/>
      <c r="I47" s="287"/>
      <c r="J47" s="253"/>
      <c r="K47" s="253"/>
      <c r="L47" s="253"/>
      <c r="M47" s="253"/>
      <c r="N47" s="307"/>
      <c r="O47" s="307"/>
      <c r="P47" s="253"/>
      <c r="Q47" s="253"/>
      <c r="R47" s="277" t="s">
        <v>206</v>
      </c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</row>
    <row r="48" spans="1:42" hidden="1" x14ac:dyDescent="0.2">
      <c r="A48" s="253"/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</row>
    <row r="49" spans="1:36" hidden="1" x14ac:dyDescent="0.2">
      <c r="A49" s="253"/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</row>
    <row r="50" spans="1:36" hidden="1" x14ac:dyDescent="0.2">
      <c r="A50" s="253"/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</row>
    <row r="51" spans="1:36" hidden="1" x14ac:dyDescent="0.2">
      <c r="A51" s="253"/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3"/>
    </row>
    <row r="52" spans="1:36" hidden="1" x14ac:dyDescent="0.2">
      <c r="A52" s="253"/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</row>
    <row r="53" spans="1:36" hidden="1" x14ac:dyDescent="0.2">
      <c r="A53" s="253"/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53"/>
    </row>
    <row r="54" spans="1:36" hidden="1" x14ac:dyDescent="0.2">
      <c r="A54" s="253"/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  <c r="AI54" s="253"/>
      <c r="AJ54" s="253"/>
    </row>
    <row r="55" spans="1:36" hidden="1" x14ac:dyDescent="0.2">
      <c r="A55" s="253"/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  <c r="AI55" s="253"/>
      <c r="AJ55" s="253"/>
    </row>
    <row r="56" spans="1:36" hidden="1" x14ac:dyDescent="0.2">
      <c r="A56" s="253"/>
      <c r="B56" s="253"/>
      <c r="C56" s="253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  <c r="AJ56" s="253"/>
    </row>
    <row r="57" spans="1:36" hidden="1" x14ac:dyDescent="0.2">
      <c r="A57" s="253"/>
      <c r="B57" s="253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53"/>
      <c r="AB57" s="253"/>
      <c r="AC57" s="253"/>
      <c r="AD57" s="253"/>
      <c r="AE57" s="253"/>
      <c r="AF57" s="253"/>
      <c r="AG57" s="253"/>
      <c r="AH57" s="253"/>
      <c r="AI57" s="253"/>
      <c r="AJ57" s="253"/>
    </row>
    <row r="58" spans="1:36" hidden="1" x14ac:dyDescent="0.2">
      <c r="A58" s="253"/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53"/>
    </row>
    <row r="59" spans="1:36" hidden="1" x14ac:dyDescent="0.2">
      <c r="A59" s="253"/>
      <c r="B59" s="253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  <c r="AI59" s="253"/>
      <c r="AJ59" s="253"/>
    </row>
    <row r="60" spans="1:36" hidden="1" x14ac:dyDescent="0.2">
      <c r="A60" s="253"/>
      <c r="B60" s="253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  <c r="AI60" s="253"/>
      <c r="AJ60" s="253"/>
    </row>
    <row r="61" spans="1:36" hidden="1" x14ac:dyDescent="0.2">
      <c r="A61" s="253"/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</row>
    <row r="62" spans="1:36" hidden="1" x14ac:dyDescent="0.2">
      <c r="A62" s="41"/>
      <c r="B62" s="194" t="s">
        <v>133</v>
      </c>
      <c r="C62" s="164" t="s">
        <v>137</v>
      </c>
      <c r="D62" s="230"/>
      <c r="E62" s="41"/>
      <c r="F62" s="36"/>
      <c r="G62" s="41"/>
      <c r="H62" s="41"/>
      <c r="I62" s="41"/>
      <c r="J62" s="41"/>
      <c r="K62" s="36"/>
      <c r="L62" s="41"/>
      <c r="M62" s="36"/>
      <c r="N62" s="41"/>
      <c r="O62" s="175"/>
      <c r="P62" s="36"/>
      <c r="Q62" s="36"/>
      <c r="R62" s="36"/>
      <c r="S62" s="36"/>
      <c r="T62" s="36"/>
    </row>
    <row r="63" spans="1:36" hidden="1" x14ac:dyDescent="0.2">
      <c r="A63" s="41"/>
      <c r="B63" s="194" t="s">
        <v>136</v>
      </c>
      <c r="C63" s="164" t="s">
        <v>153</v>
      </c>
      <c r="D63" s="41"/>
      <c r="E63" s="41"/>
      <c r="F63" s="36"/>
      <c r="G63" s="41"/>
      <c r="H63" s="41"/>
      <c r="I63" s="41"/>
      <c r="J63" s="41"/>
      <c r="K63" s="36"/>
      <c r="L63" s="41"/>
      <c r="M63" s="36"/>
      <c r="N63" s="41"/>
      <c r="O63" s="175"/>
      <c r="P63" s="36"/>
      <c r="Q63" s="36"/>
      <c r="R63" s="36"/>
      <c r="S63" s="36"/>
      <c r="T63" s="36"/>
    </row>
    <row r="64" spans="1:36" hidden="1" x14ac:dyDescent="0.2">
      <c r="A64" s="41"/>
      <c r="B64" s="194" t="s">
        <v>139</v>
      </c>
      <c r="C64" s="164" t="s">
        <v>145</v>
      </c>
      <c r="D64" s="41"/>
      <c r="E64" s="41"/>
      <c r="F64" s="36"/>
      <c r="G64" s="41"/>
      <c r="H64" s="41"/>
      <c r="I64" s="41"/>
      <c r="J64" s="41"/>
      <c r="K64" s="36"/>
      <c r="L64" s="41"/>
      <c r="M64" s="36"/>
      <c r="N64" s="41"/>
      <c r="O64" s="175"/>
      <c r="P64" s="36"/>
      <c r="Q64" s="36"/>
      <c r="R64" s="36"/>
      <c r="S64" s="36"/>
      <c r="T64" s="36"/>
    </row>
    <row r="65" spans="1:20" ht="12.75" hidden="1" customHeight="1" x14ac:dyDescent="0.2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36"/>
      <c r="L65" s="41"/>
      <c r="M65" s="36"/>
      <c r="N65" s="41"/>
      <c r="O65" s="175"/>
      <c r="P65" s="36"/>
      <c r="Q65" s="36"/>
      <c r="R65" s="36"/>
      <c r="S65" s="36"/>
      <c r="T65" s="36"/>
    </row>
    <row r="66" spans="1:20" ht="12.75" hidden="1" customHeight="1" x14ac:dyDescent="0.2">
      <c r="A66" s="41"/>
      <c r="B66" s="194" t="s">
        <v>133</v>
      </c>
      <c r="C66" s="164" t="s">
        <v>146</v>
      </c>
      <c r="D66" s="164" t="s">
        <v>145</v>
      </c>
      <c r="E66" s="41"/>
      <c r="F66" s="41"/>
      <c r="G66" s="41"/>
      <c r="H66" s="41"/>
      <c r="I66" s="41"/>
      <c r="J66" s="41"/>
      <c r="K66" s="36"/>
      <c r="L66" s="41"/>
      <c r="M66" s="36"/>
      <c r="N66" s="41"/>
      <c r="O66" s="175"/>
      <c r="P66" s="36"/>
      <c r="Q66" s="36"/>
      <c r="R66" s="36"/>
      <c r="S66" s="36"/>
      <c r="T66" s="36"/>
    </row>
    <row r="67" spans="1:20" ht="12.75" hidden="1" customHeight="1" x14ac:dyDescent="0.2">
      <c r="A67" s="41"/>
      <c r="B67" s="194" t="s">
        <v>136</v>
      </c>
      <c r="C67" s="164" t="s">
        <v>137</v>
      </c>
      <c r="D67" s="164" t="s">
        <v>135</v>
      </c>
      <c r="E67" s="41"/>
      <c r="F67" s="41"/>
      <c r="G67" s="41"/>
      <c r="H67" s="41"/>
      <c r="I67" s="41"/>
      <c r="J67" s="41"/>
      <c r="K67" s="36"/>
      <c r="L67" s="41"/>
      <c r="M67" s="36"/>
      <c r="N67" s="41"/>
      <c r="O67" s="175"/>
      <c r="P67" s="36"/>
      <c r="Q67" s="36"/>
      <c r="R67" s="36"/>
      <c r="S67" s="36"/>
      <c r="T67" s="36"/>
    </row>
    <row r="68" spans="1:20" ht="12.75" hidden="1" customHeight="1" x14ac:dyDescent="0.2">
      <c r="A68" s="41"/>
      <c r="B68" s="194" t="s">
        <v>139</v>
      </c>
      <c r="C68" s="164" t="s">
        <v>153</v>
      </c>
      <c r="D68" s="164" t="s">
        <v>141</v>
      </c>
      <c r="E68" s="41"/>
      <c r="F68" s="41"/>
      <c r="G68" s="41"/>
      <c r="H68" s="41"/>
      <c r="I68" s="41"/>
      <c r="J68" s="41"/>
      <c r="K68" s="36"/>
      <c r="L68" s="41"/>
      <c r="M68" s="36"/>
      <c r="N68" s="41"/>
      <c r="O68" s="175"/>
      <c r="P68" s="36"/>
      <c r="Q68" s="36"/>
      <c r="R68" s="36"/>
      <c r="S68" s="36"/>
      <c r="T68" s="36"/>
    </row>
    <row r="69" spans="1:20" hidden="1" x14ac:dyDescent="0.2">
      <c r="A69" s="41"/>
      <c r="B69" s="196"/>
      <c r="C69" s="42"/>
      <c r="D69" s="42"/>
      <c r="E69" s="41"/>
      <c r="F69" s="41"/>
      <c r="G69" s="41"/>
      <c r="H69" s="41"/>
      <c r="I69" s="41"/>
      <c r="J69" s="41"/>
      <c r="K69" s="36"/>
      <c r="L69" s="41"/>
      <c r="M69" s="36"/>
      <c r="N69" s="41"/>
      <c r="O69" s="175"/>
      <c r="P69" s="36"/>
      <c r="Q69" s="36"/>
      <c r="R69" s="36"/>
      <c r="S69" s="36"/>
      <c r="T69" s="36"/>
    </row>
    <row r="70" spans="1:20" hidden="1" x14ac:dyDescent="0.2">
      <c r="A70" s="41"/>
      <c r="B70" s="194" t="s">
        <v>133</v>
      </c>
      <c r="C70" s="164" t="s">
        <v>134</v>
      </c>
      <c r="D70" s="164" t="s">
        <v>135</v>
      </c>
      <c r="E70" s="41"/>
      <c r="F70" s="36"/>
      <c r="G70" s="36"/>
      <c r="H70" s="41"/>
      <c r="I70" s="41"/>
      <c r="J70" s="41"/>
      <c r="K70" s="36"/>
      <c r="L70" s="41"/>
      <c r="M70" s="36"/>
      <c r="N70" s="41"/>
      <c r="O70" s="175"/>
      <c r="P70" s="36"/>
      <c r="Q70" s="36"/>
      <c r="R70" s="36"/>
      <c r="S70" s="36"/>
      <c r="T70" s="36"/>
    </row>
    <row r="71" spans="1:20" hidden="1" x14ac:dyDescent="0.2">
      <c r="A71" s="41"/>
      <c r="B71" s="194" t="s">
        <v>136</v>
      </c>
      <c r="C71" s="164" t="s">
        <v>146</v>
      </c>
      <c r="D71" s="164" t="s">
        <v>145</v>
      </c>
      <c r="E71" s="41"/>
      <c r="F71" s="36"/>
      <c r="G71" s="36"/>
      <c r="H71" s="36"/>
      <c r="I71" s="41"/>
      <c r="J71" s="41"/>
      <c r="K71" s="36"/>
      <c r="L71" s="41"/>
      <c r="M71" s="36"/>
      <c r="N71" s="41"/>
      <c r="O71" s="175"/>
      <c r="P71" s="36"/>
      <c r="Q71" s="36"/>
      <c r="R71" s="36"/>
      <c r="S71" s="36"/>
      <c r="T71" s="36"/>
    </row>
    <row r="72" spans="1:20" hidden="1" x14ac:dyDescent="0.2">
      <c r="A72" s="41"/>
      <c r="B72" s="194" t="s">
        <v>139</v>
      </c>
      <c r="C72" s="164" t="s">
        <v>137</v>
      </c>
      <c r="D72" s="164" t="s">
        <v>138</v>
      </c>
      <c r="E72" s="41"/>
      <c r="F72" s="36"/>
      <c r="G72" s="36"/>
      <c r="H72" s="41"/>
      <c r="I72" s="41"/>
      <c r="J72" s="41"/>
      <c r="K72" s="36"/>
      <c r="L72" s="41"/>
      <c r="M72" s="36"/>
      <c r="N72" s="41"/>
      <c r="O72" s="175"/>
      <c r="P72" s="36"/>
      <c r="Q72" s="36"/>
      <c r="R72" s="36"/>
      <c r="S72" s="36"/>
      <c r="T72" s="36"/>
    </row>
    <row r="73" spans="1:20" hidden="1" x14ac:dyDescent="0.2">
      <c r="A73" s="41"/>
      <c r="B73" s="194" t="s">
        <v>142</v>
      </c>
      <c r="C73" s="231" t="s">
        <v>153</v>
      </c>
      <c r="D73" s="164" t="s">
        <v>143</v>
      </c>
      <c r="E73" s="41"/>
      <c r="F73" s="36"/>
      <c r="G73" s="36"/>
      <c r="H73" s="41"/>
      <c r="I73" s="41"/>
      <c r="J73" s="41"/>
      <c r="K73" s="36"/>
      <c r="L73" s="41"/>
      <c r="M73" s="36"/>
      <c r="N73" s="41"/>
      <c r="O73" s="175"/>
      <c r="P73" s="36"/>
      <c r="Q73" s="36"/>
      <c r="R73" s="36"/>
      <c r="S73" s="36"/>
      <c r="T73" s="36"/>
    </row>
    <row r="74" spans="1:20" hidden="1" x14ac:dyDescent="0.2">
      <c r="A74" s="41"/>
      <c r="B74" s="194" t="s">
        <v>144</v>
      </c>
      <c r="C74" s="164" t="s">
        <v>140</v>
      </c>
      <c r="D74" s="164" t="s">
        <v>141</v>
      </c>
      <c r="E74" s="41"/>
      <c r="F74" s="36"/>
      <c r="G74" s="36"/>
      <c r="H74" s="41"/>
      <c r="I74" s="41"/>
      <c r="J74" s="41"/>
      <c r="K74" s="36"/>
      <c r="L74" s="41"/>
      <c r="M74" s="36"/>
      <c r="N74" s="41"/>
      <c r="O74" s="175"/>
      <c r="P74" s="36"/>
      <c r="Q74" s="36"/>
      <c r="R74" s="36"/>
      <c r="S74" s="36"/>
      <c r="T74" s="36"/>
    </row>
    <row r="75" spans="1:20" hidden="1" x14ac:dyDescent="0.2"/>
    <row r="76" spans="1:20" hidden="1" x14ac:dyDescent="0.2"/>
    <row r="77" spans="1:20" hidden="1" x14ac:dyDescent="0.2"/>
    <row r="78" spans="1:20" hidden="1" x14ac:dyDescent="0.2"/>
    <row r="79" spans="1:20" hidden="1" x14ac:dyDescent="0.2"/>
    <row r="80" spans="1:2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11" hidden="1" x14ac:dyDescent="0.2"/>
    <row r="98" spans="1:11" hidden="1" x14ac:dyDescent="0.2"/>
    <row r="99" spans="1:11" hidden="1" x14ac:dyDescent="0.2"/>
    <row r="100" spans="1:11" hidden="1" x14ac:dyDescent="0.2">
      <c r="A100" s="167" t="s">
        <v>154</v>
      </c>
      <c r="B100" s="168"/>
      <c r="C100" s="169"/>
      <c r="D100" s="169"/>
      <c r="E100" s="169"/>
      <c r="F100" s="166"/>
      <c r="G100" s="164"/>
      <c r="H100" s="156"/>
      <c r="I100" s="156"/>
      <c r="J100" s="156"/>
      <c r="K100" s="156"/>
    </row>
    <row r="101" spans="1:11" hidden="1" x14ac:dyDescent="0.2"/>
    <row r="102" spans="1:11" hidden="1" x14ac:dyDescent="0.2">
      <c r="A102" s="176" t="s">
        <v>155</v>
      </c>
      <c r="B102" s="318" t="str">
        <f>IF(A102="-","-",IFERROR(INDEX(B$1:B$100,MATCH(A102,I$1:I$100,0)),""))</f>
        <v/>
      </c>
      <c r="C102" s="177">
        <f>IF(B102="-",0,IF(B104="-",13,""))</f>
        <v>13</v>
      </c>
      <c r="D102" s="156"/>
      <c r="E102" s="156"/>
      <c r="F102" s="156"/>
      <c r="G102" s="156"/>
      <c r="H102" s="156"/>
      <c r="I102" s="156"/>
      <c r="J102" s="156"/>
    </row>
    <row r="103" spans="1:11" hidden="1" x14ac:dyDescent="0.2">
      <c r="A103" s="178"/>
      <c r="B103" s="234"/>
      <c r="C103" s="179" t="str">
        <f>IF(COUNT(C102,C104)=2,IF(C102&gt;C104,B102,B104),"")</f>
        <v/>
      </c>
      <c r="D103" s="156"/>
      <c r="E103" s="177">
        <v>13</v>
      </c>
      <c r="F103" s="156"/>
      <c r="G103" s="156"/>
      <c r="H103" s="156"/>
      <c r="I103" s="156"/>
      <c r="J103" s="156"/>
    </row>
    <row r="104" spans="1:11" hidden="1" x14ac:dyDescent="0.2">
      <c r="A104" s="178" t="s">
        <v>167</v>
      </c>
      <c r="B104" s="235" t="str">
        <f>IF(A104="-","-",IFERROR(INDEX(B$1:B$100,MATCH(A104,I$1:I$100,0)),""))</f>
        <v>-</v>
      </c>
      <c r="C104" s="180">
        <f>IF(B104="-",0,IF(B102="-",13,""))</f>
        <v>0</v>
      </c>
      <c r="D104" s="202"/>
      <c r="E104" s="156"/>
      <c r="F104" s="156"/>
      <c r="G104" s="156"/>
      <c r="H104" s="156"/>
      <c r="I104" s="156"/>
      <c r="J104" s="156"/>
    </row>
    <row r="105" spans="1:11" hidden="1" x14ac:dyDescent="0.2">
      <c r="A105" s="178"/>
      <c r="B105" s="172"/>
      <c r="C105" s="156"/>
      <c r="D105" s="372" t="s">
        <v>15</v>
      </c>
      <c r="E105" s="179" t="str">
        <f>IF(COUNT(E103,E107)=2,IF(E103&gt;E107,C103,C107),"")</f>
        <v/>
      </c>
      <c r="F105" s="156"/>
      <c r="G105" s="177">
        <v>7</v>
      </c>
      <c r="H105" s="156"/>
      <c r="I105" s="156"/>
      <c r="J105" s="156"/>
    </row>
    <row r="106" spans="1:11" hidden="1" x14ac:dyDescent="0.2">
      <c r="A106" s="178" t="s">
        <v>160</v>
      </c>
      <c r="B106" s="318" t="str">
        <f>IF(A106="-","-",IFERROR(INDEX(B$1:B$100,MATCH(A106,I$1:I$100,0)),""))</f>
        <v/>
      </c>
      <c r="C106" s="177">
        <v>10</v>
      </c>
      <c r="D106" s="181"/>
      <c r="E106" s="182"/>
      <c r="F106" s="202"/>
      <c r="G106" s="156"/>
      <c r="H106" s="156"/>
      <c r="I106" s="156"/>
      <c r="J106" s="156"/>
    </row>
    <row r="107" spans="1:11" hidden="1" x14ac:dyDescent="0.2">
      <c r="A107" s="178"/>
      <c r="B107" s="369" t="s">
        <v>10</v>
      </c>
      <c r="C107" s="179" t="str">
        <f>IF(COUNT(C106,C108)=2,IF(C106&gt;C108,B106,B108),"")</f>
        <v/>
      </c>
      <c r="D107" s="236"/>
      <c r="E107" s="180">
        <v>10</v>
      </c>
      <c r="F107" s="181"/>
      <c r="G107" s="156"/>
      <c r="H107" s="156"/>
      <c r="I107" s="156"/>
      <c r="J107" s="156"/>
    </row>
    <row r="108" spans="1:11" hidden="1" x14ac:dyDescent="0.2">
      <c r="A108" s="178" t="s">
        <v>184</v>
      </c>
      <c r="B108" s="235" t="str">
        <f>IF(A108="-","-",IFERROR(INDEX(B$1:B$100,MATCH(A108,I$1:I$100,0)),""))</f>
        <v/>
      </c>
      <c r="C108" s="180">
        <v>13</v>
      </c>
      <c r="D108" s="156"/>
      <c r="E108" s="168"/>
      <c r="F108" s="181"/>
      <c r="G108" s="156"/>
      <c r="H108" s="156"/>
      <c r="I108" s="156"/>
      <c r="J108" s="156"/>
    </row>
    <row r="109" spans="1:11" hidden="1" x14ac:dyDescent="0.2">
      <c r="A109" s="155"/>
      <c r="B109" s="172"/>
      <c r="C109" s="156"/>
      <c r="D109" s="156"/>
      <c r="E109" s="168"/>
      <c r="F109" s="181"/>
      <c r="G109" s="156" t="str">
        <f>IF(COUNT(G105,G113)=2,IF(G105&gt;G113,E105,E113),"")</f>
        <v/>
      </c>
      <c r="H109" s="156"/>
      <c r="I109" s="177">
        <v>13</v>
      </c>
      <c r="J109" s="156"/>
    </row>
    <row r="110" spans="1:11" hidden="1" x14ac:dyDescent="0.2">
      <c r="A110" s="176" t="s">
        <v>183</v>
      </c>
      <c r="B110" s="318" t="str">
        <f>IF(A110="-","-",IFERROR(INDEX(B$1:B$100,MATCH(A110,I$1:I$100,0)),""))</f>
        <v/>
      </c>
      <c r="C110" s="177">
        <v>3</v>
      </c>
      <c r="D110" s="156"/>
      <c r="E110" s="156"/>
      <c r="F110" s="181"/>
      <c r="G110" s="182"/>
      <c r="H110" s="202"/>
      <c r="I110" s="156"/>
      <c r="J110" s="156"/>
    </row>
    <row r="111" spans="1:11" hidden="1" x14ac:dyDescent="0.2">
      <c r="A111" s="178"/>
      <c r="B111" s="369" t="s">
        <v>11</v>
      </c>
      <c r="C111" s="179" t="str">
        <f>IF(COUNT(C110,C112)=2,IF(C110&gt;C112,B110,B112),"")</f>
        <v/>
      </c>
      <c r="D111" s="156"/>
      <c r="E111" s="177">
        <v>13</v>
      </c>
      <c r="F111" s="181"/>
      <c r="G111" s="168"/>
      <c r="H111" s="181"/>
      <c r="I111" s="156"/>
      <c r="J111" s="156"/>
    </row>
    <row r="112" spans="1:11" hidden="1" x14ac:dyDescent="0.2">
      <c r="A112" s="178" t="s">
        <v>158</v>
      </c>
      <c r="B112" s="235" t="str">
        <f>IF(A112="-","-",IFERROR(INDEX(B$1:B$100,MATCH(A112,I$1:I$100,0)),""))</f>
        <v/>
      </c>
      <c r="C112" s="180">
        <v>13</v>
      </c>
      <c r="D112" s="202"/>
      <c r="E112" s="156"/>
      <c r="F112" s="181"/>
      <c r="G112" s="168"/>
      <c r="H112" s="181"/>
      <c r="I112" s="156"/>
      <c r="J112" s="156"/>
    </row>
    <row r="113" spans="1:11" hidden="1" x14ac:dyDescent="0.2">
      <c r="A113" s="178"/>
      <c r="B113" s="172"/>
      <c r="C113" s="156"/>
      <c r="D113" s="372" t="s">
        <v>17</v>
      </c>
      <c r="E113" s="179" t="str">
        <f>IF(COUNT(E111,E115)=2,IF(E111&gt;E115,C111,C115),"")</f>
        <v/>
      </c>
      <c r="F113" s="236"/>
      <c r="G113" s="180">
        <v>13</v>
      </c>
      <c r="H113" s="181"/>
      <c r="I113" s="156"/>
      <c r="J113" s="156"/>
    </row>
    <row r="114" spans="1:11" hidden="1" x14ac:dyDescent="0.2">
      <c r="A114" s="178" t="s">
        <v>167</v>
      </c>
      <c r="B114" s="318" t="str">
        <f>IF(A114="-","-",IFERROR(INDEX(B$1:B$100,MATCH(A114,I$1:I$100,0)),""))</f>
        <v>-</v>
      </c>
      <c r="C114" s="177">
        <f>IF(B114="-",0,IF(B116="-",13,""))</f>
        <v>0</v>
      </c>
      <c r="D114" s="181"/>
      <c r="E114" s="182"/>
      <c r="F114" s="168"/>
      <c r="G114" s="168"/>
      <c r="H114" s="181"/>
      <c r="I114" s="156"/>
      <c r="J114" s="156"/>
    </row>
    <row r="115" spans="1:11" hidden="1" x14ac:dyDescent="0.2">
      <c r="A115" s="178"/>
      <c r="B115" s="234"/>
      <c r="C115" s="179" t="str">
        <f>IF(COUNT(C114,C116)=2,IF(C114&gt;C116,B114,B116),"")</f>
        <v/>
      </c>
      <c r="D115" s="236"/>
      <c r="E115" s="180">
        <v>9</v>
      </c>
      <c r="F115" s="156"/>
      <c r="G115" s="168"/>
      <c r="H115" s="181"/>
      <c r="I115" s="156"/>
      <c r="J115" s="156"/>
    </row>
    <row r="116" spans="1:11" hidden="1" x14ac:dyDescent="0.2">
      <c r="A116" s="178" t="s">
        <v>162</v>
      </c>
      <c r="B116" s="235" t="str">
        <f>IF(A116="-","-",IFERROR(INDEX(B$1:B$100,MATCH(A116,I$1:I$100,0)),""))</f>
        <v/>
      </c>
      <c r="C116" s="180">
        <f>IF(B116="-",0,IF(B114="-",13,""))</f>
        <v>13</v>
      </c>
      <c r="D116" s="156"/>
      <c r="E116" s="168"/>
      <c r="F116" s="168"/>
      <c r="G116" s="168"/>
      <c r="H116" s="181"/>
      <c r="I116" s="156"/>
      <c r="J116" s="156"/>
    </row>
    <row r="117" spans="1:11" ht="13.5" hidden="1" thickBot="1" x14ac:dyDescent="0.25">
      <c r="A117" s="155"/>
      <c r="B117" s="172"/>
      <c r="C117" s="156"/>
      <c r="D117" s="156"/>
      <c r="E117" s="156"/>
      <c r="F117" s="156"/>
      <c r="G117" s="168"/>
      <c r="H117" s="181"/>
      <c r="I117" s="156"/>
      <c r="J117" s="165" t="str">
        <f>IF(COUNT(I109,I125)=2,IF(I109&gt;I125,G109,G125),"")</f>
        <v/>
      </c>
    </row>
    <row r="118" spans="1:11" hidden="1" x14ac:dyDescent="0.2">
      <c r="A118" s="176" t="s">
        <v>159</v>
      </c>
      <c r="B118" s="318" t="str">
        <f>IF(A118="-","-",IFERROR(INDEX(B$1:B$100,MATCH(A118,I$1:I$100,0)),""))</f>
        <v/>
      </c>
      <c r="C118" s="177">
        <f>IF(B118="-",0,IF(B120="-",13,""))</f>
        <v>13</v>
      </c>
      <c r="D118" s="156"/>
      <c r="E118" s="156"/>
      <c r="F118" s="156"/>
      <c r="G118" s="168"/>
      <c r="H118" s="181"/>
      <c r="I118" s="183"/>
      <c r="J118" s="170" t="s">
        <v>147</v>
      </c>
      <c r="K118" s="199"/>
    </row>
    <row r="119" spans="1:11" hidden="1" x14ac:dyDescent="0.2">
      <c r="A119" s="178"/>
      <c r="B119" s="234"/>
      <c r="C119" s="179" t="str">
        <f>IF(COUNT(C118,C120)=2,IF(C118&gt;C120,B118,B120),"")</f>
        <v/>
      </c>
      <c r="D119" s="156"/>
      <c r="E119" s="177">
        <v>13</v>
      </c>
      <c r="F119" s="156"/>
      <c r="G119" s="168"/>
      <c r="H119" s="181"/>
      <c r="I119" s="168"/>
      <c r="J119" s="168"/>
      <c r="K119" s="200"/>
    </row>
    <row r="120" spans="1:11" hidden="1" x14ac:dyDescent="0.2">
      <c r="A120" s="178" t="s">
        <v>167</v>
      </c>
      <c r="B120" s="235" t="str">
        <f>IF(A120="-","-",IFERROR(INDEX(B$1:B$100,MATCH(A120,I$1:I$100,0)),""))</f>
        <v>-</v>
      </c>
      <c r="C120" s="180">
        <f>IF(B120="-",0,IF(B118="-",13,""))</f>
        <v>0</v>
      </c>
      <c r="D120" s="202"/>
      <c r="E120" s="156"/>
      <c r="F120" s="156"/>
      <c r="G120" s="168"/>
      <c r="H120" s="181"/>
      <c r="I120" s="168"/>
      <c r="J120" s="168"/>
      <c r="K120" s="200"/>
    </row>
    <row r="121" spans="1:11" hidden="1" x14ac:dyDescent="0.2">
      <c r="A121" s="178"/>
      <c r="B121" s="172"/>
      <c r="C121" s="156"/>
      <c r="D121" s="372" t="s">
        <v>18</v>
      </c>
      <c r="E121" s="179" t="str">
        <f>IF(COUNT(E119,E123)=2,IF(E119&gt;E123,C119,C123),"")</f>
        <v/>
      </c>
      <c r="F121" s="156"/>
      <c r="G121" s="177">
        <v>13</v>
      </c>
      <c r="H121" s="181"/>
      <c r="I121" s="168"/>
      <c r="J121" s="168"/>
      <c r="K121" s="200"/>
    </row>
    <row r="122" spans="1:11" hidden="1" x14ac:dyDescent="0.2">
      <c r="A122" s="178" t="s">
        <v>156</v>
      </c>
      <c r="B122" s="318" t="str">
        <f>IF(A122="-","-",IFERROR(INDEX(B$1:B$100,MATCH(A122,I$1:I$100,0)),""))</f>
        <v/>
      </c>
      <c r="C122" s="177">
        <v>11</v>
      </c>
      <c r="D122" s="181"/>
      <c r="E122" s="182"/>
      <c r="F122" s="202"/>
      <c r="G122" s="156"/>
      <c r="H122" s="181"/>
      <c r="I122" s="168"/>
      <c r="J122" s="168"/>
      <c r="K122" s="200"/>
    </row>
    <row r="123" spans="1:11" hidden="1" x14ac:dyDescent="0.2">
      <c r="A123" s="178"/>
      <c r="B123" s="369" t="s">
        <v>12</v>
      </c>
      <c r="C123" s="179" t="str">
        <f>IF(COUNT(C122,C124)=2,IF(C122&gt;C124,B122,B124),"")</f>
        <v/>
      </c>
      <c r="D123" s="236"/>
      <c r="E123" s="180">
        <v>10</v>
      </c>
      <c r="F123" s="181"/>
      <c r="G123" s="156"/>
      <c r="H123" s="181"/>
      <c r="I123" s="168"/>
      <c r="J123" s="168"/>
      <c r="K123" s="200"/>
    </row>
    <row r="124" spans="1:11" hidden="1" x14ac:dyDescent="0.2">
      <c r="A124" s="178" t="s">
        <v>185</v>
      </c>
      <c r="B124" s="235" t="str">
        <f>IF(A124="-","-",IFERROR(INDEX(B$1:B$100,MATCH(A124,I$1:I$100,0)),""))</f>
        <v/>
      </c>
      <c r="C124" s="180">
        <v>13</v>
      </c>
      <c r="D124" s="156"/>
      <c r="E124" s="168"/>
      <c r="F124" s="181"/>
      <c r="G124" s="156"/>
      <c r="H124" s="181"/>
      <c r="I124" s="168"/>
      <c r="J124" s="168"/>
      <c r="K124" s="200"/>
    </row>
    <row r="125" spans="1:11" hidden="1" x14ac:dyDescent="0.2">
      <c r="A125" s="155"/>
      <c r="B125" s="172"/>
      <c r="C125" s="156"/>
      <c r="D125" s="156"/>
      <c r="E125" s="168"/>
      <c r="F125" s="181"/>
      <c r="G125" s="156" t="str">
        <f>IF(COUNT(G121,G129)=2,IF(G121&gt;G129,E121,E129),"")</f>
        <v/>
      </c>
      <c r="H125" s="236"/>
      <c r="I125" s="180">
        <v>7</v>
      </c>
      <c r="J125" s="168"/>
      <c r="K125" s="200"/>
    </row>
    <row r="126" spans="1:11" ht="13.5" hidden="1" thickBot="1" x14ac:dyDescent="0.25">
      <c r="A126" s="176" t="s">
        <v>186</v>
      </c>
      <c r="B126" s="318" t="str">
        <f>IF(A126="-","-",IFERROR(INDEX(B$1:B$100,MATCH(A126,I$1:I$100,0)),""))</f>
        <v/>
      </c>
      <c r="C126" s="177">
        <v>7</v>
      </c>
      <c r="D126" s="156"/>
      <c r="E126" s="156"/>
      <c r="F126" s="181"/>
      <c r="G126" s="182"/>
      <c r="H126" s="156"/>
      <c r="I126" s="168"/>
      <c r="J126" s="319" t="str">
        <f>IF(COUNT(I109,I125)=2,IF(I109&lt;I125,G109,G125),"")</f>
        <v/>
      </c>
      <c r="K126" s="320"/>
    </row>
    <row r="127" spans="1:11" hidden="1" x14ac:dyDescent="0.2">
      <c r="A127" s="178"/>
      <c r="B127" s="369" t="s">
        <v>13</v>
      </c>
      <c r="C127" s="179" t="str">
        <f>IF(COUNT(C126,C128)=2,IF(C126&gt;C128,B126,B128),"")</f>
        <v/>
      </c>
      <c r="D127" s="156"/>
      <c r="E127" s="177">
        <v>2</v>
      </c>
      <c r="F127" s="181"/>
      <c r="G127" s="168"/>
      <c r="H127" s="156"/>
      <c r="I127" s="168"/>
      <c r="J127" s="173" t="s">
        <v>148</v>
      </c>
    </row>
    <row r="128" spans="1:11" hidden="1" x14ac:dyDescent="0.2">
      <c r="A128" s="178" t="s">
        <v>161</v>
      </c>
      <c r="B128" s="235" t="str">
        <f>IF(A128="-","-",IFERROR(INDEX(B$1:B$100,MATCH(A128,I$1:I$100,0)),""))</f>
        <v/>
      </c>
      <c r="C128" s="180">
        <v>13</v>
      </c>
      <c r="D128" s="202"/>
      <c r="E128" s="156"/>
      <c r="F128" s="181"/>
      <c r="G128" s="168"/>
      <c r="H128" s="156"/>
      <c r="I128" s="168"/>
      <c r="J128" s="156"/>
    </row>
    <row r="129" spans="1:11" hidden="1" x14ac:dyDescent="0.2">
      <c r="A129" s="178"/>
      <c r="B129" s="172"/>
      <c r="C129" s="156"/>
      <c r="D129" s="372" t="s">
        <v>19</v>
      </c>
      <c r="E129" s="179" t="str">
        <f>IF(COUNT(E127,E131)=2,IF(E127&gt;E131,C127,C131),"")</f>
        <v/>
      </c>
      <c r="F129" s="236"/>
      <c r="G129" s="180">
        <v>3</v>
      </c>
      <c r="H129" s="156"/>
      <c r="I129" s="168"/>
      <c r="J129" s="156"/>
    </row>
    <row r="130" spans="1:11" hidden="1" x14ac:dyDescent="0.2">
      <c r="A130" s="178" t="s">
        <v>167</v>
      </c>
      <c r="B130" s="318" t="str">
        <f>IF(A130="-","-",IFERROR(INDEX(B$1:B$100,MATCH(A130,I$1:I$100,0)),""))</f>
        <v>-</v>
      </c>
      <c r="C130" s="177">
        <f>IF(B130="-",0,IF(B132="-",13,""))</f>
        <v>0</v>
      </c>
      <c r="D130" s="181"/>
      <c r="E130" s="182"/>
      <c r="F130" s="168"/>
      <c r="G130" s="168"/>
      <c r="H130" s="156"/>
      <c r="I130" s="168"/>
      <c r="J130" s="156"/>
    </row>
    <row r="131" spans="1:11" hidden="1" x14ac:dyDescent="0.2">
      <c r="A131" s="178"/>
      <c r="B131" s="234"/>
      <c r="C131" s="179" t="str">
        <f>IF(COUNT(C130,C132)=2,IF(C130&gt;C132,B130,B132),"")</f>
        <v/>
      </c>
      <c r="D131" s="236"/>
      <c r="E131" s="180">
        <v>13</v>
      </c>
      <c r="F131" s="156"/>
      <c r="G131" s="168" t="str">
        <f>IF(COUNT(G105,G113)=2,IF(G105&lt;G113,E105,E113),"")</f>
        <v/>
      </c>
      <c r="H131" s="156"/>
      <c r="I131" s="184">
        <v>1</v>
      </c>
      <c r="J131" s="156"/>
    </row>
    <row r="132" spans="1:11" ht="13.5" hidden="1" thickBot="1" x14ac:dyDescent="0.25">
      <c r="A132" s="178" t="s">
        <v>157</v>
      </c>
      <c r="B132" s="235" t="str">
        <f>IF(A132="-","-",IFERROR(INDEX(B$1:B$100,MATCH(A132,I$1:I$100,0)),""))</f>
        <v/>
      </c>
      <c r="C132" s="180">
        <f>IF(B132="-",0,IF(B130="-",13,""))</f>
        <v>13</v>
      </c>
      <c r="D132" s="156"/>
      <c r="E132" s="168"/>
      <c r="F132" s="168"/>
      <c r="G132" s="237"/>
      <c r="H132" s="202"/>
      <c r="I132" s="321"/>
      <c r="J132" s="165" t="str">
        <f>IF(COUNT(I131,I133)=2,IF(I131&gt;I133,G131,G133),"")</f>
        <v/>
      </c>
    </row>
    <row r="133" spans="1:11" hidden="1" x14ac:dyDescent="0.2">
      <c r="A133" s="156"/>
      <c r="B133" s="156"/>
      <c r="C133" s="156"/>
      <c r="D133" s="156"/>
      <c r="E133" s="156"/>
      <c r="F133" s="168"/>
      <c r="G133" s="238" t="str">
        <f>IF(COUNT(G121,G129)=2,IF(G121&lt;G129,E121,E129),"")</f>
        <v/>
      </c>
      <c r="H133" s="236"/>
      <c r="I133" s="180">
        <v>13</v>
      </c>
      <c r="J133" s="170" t="s">
        <v>149</v>
      </c>
      <c r="K133" s="199"/>
    </row>
    <row r="134" spans="1:11" hidden="1" x14ac:dyDescent="0.2">
      <c r="A134" s="156"/>
      <c r="B134" s="156"/>
      <c r="C134" s="156"/>
      <c r="D134" s="156"/>
      <c r="E134" s="156"/>
      <c r="F134" s="168"/>
      <c r="G134" s="156"/>
      <c r="H134" s="156"/>
      <c r="I134" s="156"/>
      <c r="J134" s="168"/>
      <c r="K134" s="200"/>
    </row>
    <row r="135" spans="1:11" ht="13.5" hidden="1" thickBot="1" x14ac:dyDescent="0.25">
      <c r="A135" s="156"/>
      <c r="B135" s="156"/>
      <c r="C135" s="156"/>
      <c r="D135" s="156"/>
      <c r="E135" s="156"/>
      <c r="F135" s="168"/>
      <c r="G135" s="168"/>
      <c r="H135" s="168"/>
      <c r="I135" s="156"/>
      <c r="J135" s="319" t="str">
        <f>IF(COUNT(I131,I133)=2,IF(I131&lt;I133,G131,G133),"")</f>
        <v/>
      </c>
      <c r="K135" s="320"/>
    </row>
    <row r="136" spans="1:11" hidden="1" x14ac:dyDescent="0.2">
      <c r="A136" s="156"/>
      <c r="B136" s="156"/>
      <c r="C136" s="156"/>
      <c r="D136" s="156"/>
      <c r="E136" s="156"/>
      <c r="F136" s="156"/>
      <c r="G136" s="168"/>
      <c r="H136" s="168"/>
      <c r="I136" s="156"/>
      <c r="J136" s="155" t="s">
        <v>150</v>
      </c>
    </row>
    <row r="137" spans="1:11" hidden="1" x14ac:dyDescent="0.2">
      <c r="A137" s="156"/>
      <c r="B137" s="156"/>
      <c r="C137" s="156"/>
      <c r="D137" s="156"/>
      <c r="E137" s="156"/>
      <c r="F137" s="156"/>
      <c r="G137" s="168"/>
      <c r="H137" s="168"/>
      <c r="I137" s="156"/>
      <c r="J137" s="155"/>
    </row>
    <row r="138" spans="1:11" hidden="1" x14ac:dyDescent="0.2">
      <c r="A138" s="197" t="s">
        <v>232</v>
      </c>
    </row>
    <row r="139" spans="1:11" hidden="1" x14ac:dyDescent="0.2"/>
    <row r="140" spans="1:11" hidden="1" x14ac:dyDescent="0.2">
      <c r="A140" s="156"/>
      <c r="B140" s="156"/>
      <c r="C140" s="156"/>
      <c r="D140" s="373" t="s">
        <v>15</v>
      </c>
      <c r="E140" s="238" t="str">
        <f>IF(COUNT(E103,E107)=2,IF(E103&lt;E107,C103,C107),"")</f>
        <v/>
      </c>
      <c r="F140" s="156"/>
      <c r="G140" s="177">
        <v>12</v>
      </c>
      <c r="H140" s="177"/>
      <c r="I140" s="177"/>
      <c r="J140" s="156"/>
    </row>
    <row r="141" spans="1:11" hidden="1" x14ac:dyDescent="0.2">
      <c r="A141" s="156"/>
      <c r="B141" s="156"/>
      <c r="C141" s="156"/>
      <c r="D141" s="371"/>
      <c r="E141" s="239"/>
      <c r="F141" s="203"/>
      <c r="G141" s="179" t="str">
        <f>IF(COUNT(G140,G142)=2,IF(G140&gt;G142,E140,E142),"")</f>
        <v/>
      </c>
      <c r="H141" s="156"/>
      <c r="I141" s="177">
        <v>13</v>
      </c>
      <c r="J141" s="156"/>
    </row>
    <row r="142" spans="1:11" hidden="1" x14ac:dyDescent="0.2">
      <c r="A142" s="156"/>
      <c r="B142" s="156"/>
      <c r="C142" s="156"/>
      <c r="D142" s="373" t="s">
        <v>17</v>
      </c>
      <c r="E142" s="238" t="str">
        <f>IF(COUNT(E111,E115)=2,IF(E111&lt;E115,C111,C115),"")</f>
        <v/>
      </c>
      <c r="F142" s="240"/>
      <c r="G142" s="180">
        <v>13</v>
      </c>
      <c r="H142" s="203"/>
      <c r="I142" s="156"/>
      <c r="J142" s="156"/>
    </row>
    <row r="143" spans="1:11" ht="13.5" hidden="1" thickBot="1" x14ac:dyDescent="0.25">
      <c r="A143" s="156"/>
      <c r="B143" s="156"/>
      <c r="C143" s="156"/>
      <c r="D143" s="371"/>
      <c r="E143" s="177"/>
      <c r="F143" s="177"/>
      <c r="G143" s="184"/>
      <c r="H143" s="185"/>
      <c r="I143" s="204"/>
      <c r="J143" s="165" t="str">
        <f>IF(COUNT(I141,I145)=2,IF(I141&gt;I145,G141,G145),"")</f>
        <v/>
      </c>
    </row>
    <row r="144" spans="1:11" hidden="1" x14ac:dyDescent="0.2">
      <c r="A144" s="156"/>
      <c r="B144" s="156"/>
      <c r="C144" s="156"/>
      <c r="D144" s="373" t="s">
        <v>18</v>
      </c>
      <c r="E144" s="238" t="str">
        <f>IF(COUNT(E119,E123)=2,IF(E119&lt;E123,C119,C123),"")</f>
        <v/>
      </c>
      <c r="F144" s="177"/>
      <c r="G144" s="177">
        <v>13</v>
      </c>
      <c r="H144" s="185"/>
      <c r="I144" s="183"/>
      <c r="J144" s="170" t="s">
        <v>151</v>
      </c>
      <c r="K144" s="199"/>
    </row>
    <row r="145" spans="1:11" hidden="1" x14ac:dyDescent="0.2">
      <c r="A145" s="156"/>
      <c r="B145" s="156"/>
      <c r="C145" s="156"/>
      <c r="D145" s="371"/>
      <c r="E145" s="239"/>
      <c r="F145" s="203"/>
      <c r="G145" s="179" t="str">
        <f>IF(COUNT(G144,G146)=2,IF(G144&gt;G146,E144,E146),"")</f>
        <v/>
      </c>
      <c r="H145" s="236"/>
      <c r="I145" s="180">
        <v>12</v>
      </c>
      <c r="J145" s="168"/>
      <c r="K145" s="200"/>
    </row>
    <row r="146" spans="1:11" ht="13.5" hidden="1" thickBot="1" x14ac:dyDescent="0.25">
      <c r="A146" s="156"/>
      <c r="B146" s="156"/>
      <c r="C146" s="156"/>
      <c r="D146" s="373" t="s">
        <v>19</v>
      </c>
      <c r="E146" s="238" t="str">
        <f>IF(COUNT(E127,E131)=2,IF(E127&lt;E131,C127,C131),"")</f>
        <v/>
      </c>
      <c r="F146" s="240"/>
      <c r="G146" s="180">
        <v>7</v>
      </c>
      <c r="H146" s="177"/>
      <c r="I146" s="184"/>
      <c r="J146" s="319" t="str">
        <f>IF(COUNT(I141,I145)=2,IF(I141&lt;I145,G141,G145),"")</f>
        <v/>
      </c>
      <c r="K146" s="320"/>
    </row>
    <row r="147" spans="1:11" hidden="1" x14ac:dyDescent="0.2">
      <c r="A147" s="156"/>
      <c r="B147" s="156"/>
      <c r="C147" s="156"/>
      <c r="D147" s="156"/>
      <c r="E147" s="177"/>
      <c r="F147" s="177"/>
      <c r="G147" s="177"/>
      <c r="H147" s="177"/>
      <c r="I147" s="184"/>
      <c r="J147" s="173" t="s">
        <v>152</v>
      </c>
    </row>
    <row r="148" spans="1:11" hidden="1" x14ac:dyDescent="0.2">
      <c r="A148" s="156"/>
      <c r="B148" s="156"/>
      <c r="C148" s="156"/>
      <c r="D148" s="156"/>
      <c r="E148" s="177"/>
      <c r="F148" s="184"/>
      <c r="G148" s="165" t="str">
        <f>IF(COUNT(G140,G142)=2,IF(G140&lt;G142,E140,E142),"")</f>
        <v/>
      </c>
      <c r="H148" s="156"/>
      <c r="I148" s="184">
        <v>7</v>
      </c>
      <c r="J148" s="168"/>
    </row>
    <row r="149" spans="1:11" ht="13.5" hidden="1" thickBot="1" x14ac:dyDescent="0.25">
      <c r="A149" s="156"/>
      <c r="B149" s="156"/>
      <c r="C149" s="156"/>
      <c r="D149" s="156"/>
      <c r="E149" s="177"/>
      <c r="F149" s="184"/>
      <c r="G149" s="237"/>
      <c r="H149" s="202"/>
      <c r="I149" s="321"/>
      <c r="J149" s="165" t="str">
        <f>IF(COUNT(I148,I150)=2,IF(I148&gt;I150,G148,G150),"")</f>
        <v/>
      </c>
    </row>
    <row r="150" spans="1:11" hidden="1" x14ac:dyDescent="0.2">
      <c r="A150" s="156"/>
      <c r="B150" s="156"/>
      <c r="C150" s="156"/>
      <c r="D150" s="156"/>
      <c r="E150" s="177"/>
      <c r="F150" s="184"/>
      <c r="G150" s="238" t="str">
        <f>IF(COUNT(G144,G146)=2,IF(G144&lt;G146,E144,E146),"")</f>
        <v/>
      </c>
      <c r="H150" s="236"/>
      <c r="I150" s="180">
        <v>13</v>
      </c>
      <c r="J150" s="170" t="s">
        <v>163</v>
      </c>
      <c r="K150" s="199"/>
    </row>
    <row r="151" spans="1:11" hidden="1" x14ac:dyDescent="0.2">
      <c r="A151" s="156"/>
      <c r="B151" s="156"/>
      <c r="C151" s="156"/>
      <c r="D151" s="156"/>
      <c r="E151" s="156"/>
      <c r="F151" s="168"/>
      <c r="G151" s="156"/>
      <c r="H151" s="156"/>
      <c r="I151" s="156"/>
      <c r="J151" s="168"/>
      <c r="K151" s="200"/>
    </row>
    <row r="152" spans="1:11" ht="13.5" hidden="1" thickBot="1" x14ac:dyDescent="0.25">
      <c r="A152" s="156"/>
      <c r="B152" s="156"/>
      <c r="C152" s="156"/>
      <c r="D152" s="156"/>
      <c r="E152" s="156"/>
      <c r="F152" s="156"/>
      <c r="G152" s="168"/>
      <c r="H152" s="168"/>
      <c r="I152" s="156"/>
      <c r="J152" s="322" t="str">
        <f>IF(COUNT(I148,I150)=2,IF(I148&lt;I150,G148,G150),"")</f>
        <v/>
      </c>
      <c r="K152" s="320"/>
    </row>
    <row r="153" spans="1:11" hidden="1" x14ac:dyDescent="0.2">
      <c r="A153" s="156"/>
      <c r="B153" s="156"/>
      <c r="C153" s="156"/>
      <c r="D153" s="156"/>
      <c r="E153" s="156"/>
      <c r="F153" s="156"/>
      <c r="G153" s="168"/>
      <c r="H153" s="168"/>
      <c r="I153" s="156"/>
      <c r="J153" s="173" t="s">
        <v>164</v>
      </c>
    </row>
    <row r="154" spans="1:11" hidden="1" x14ac:dyDescent="0.2"/>
    <row r="155" spans="1:11" hidden="1" x14ac:dyDescent="0.2">
      <c r="A155" s="197" t="s">
        <v>215</v>
      </c>
      <c r="B155" s="43"/>
      <c r="C155" s="43"/>
      <c r="D155" s="43"/>
      <c r="E155" s="43"/>
      <c r="F155" s="43"/>
      <c r="G155" s="43"/>
      <c r="H155" s="43"/>
      <c r="I155" s="43"/>
      <c r="J155" s="43"/>
    </row>
    <row r="156" spans="1:11" hidden="1" x14ac:dyDescent="0.2">
      <c r="A156" s="43"/>
      <c r="B156" s="43"/>
      <c r="C156" s="43"/>
      <c r="D156" s="43"/>
      <c r="E156" s="43"/>
      <c r="F156" s="43"/>
      <c r="G156" s="43"/>
      <c r="H156" s="43"/>
      <c r="I156" s="43"/>
      <c r="J156" s="43"/>
    </row>
    <row r="157" spans="1:11" hidden="1" x14ac:dyDescent="0.2">
      <c r="A157" s="43"/>
      <c r="B157" s="374"/>
      <c r="C157" s="238" t="str">
        <f>IF(COUNT(C102,C104)=2,IF(C102&lt;C104,B102,B104),"")</f>
        <v>-</v>
      </c>
      <c r="D157" s="43"/>
      <c r="E157" s="177">
        <f>IF(C157="-",0,IF(C159="-",13,""))</f>
        <v>0</v>
      </c>
      <c r="F157" s="156"/>
      <c r="G157" s="156"/>
      <c r="H157" s="156"/>
      <c r="I157" s="156"/>
      <c r="J157" s="156"/>
    </row>
    <row r="158" spans="1:11" hidden="1" x14ac:dyDescent="0.2">
      <c r="A158" s="43"/>
      <c r="B158" s="374"/>
      <c r="C158" s="234"/>
      <c r="D158" s="201"/>
      <c r="E158" s="179" t="str">
        <f>IF(COUNT(E157,E159)=2,IF(E157&gt;E159,C157,C159),"")</f>
        <v/>
      </c>
      <c r="F158" s="156"/>
      <c r="G158" s="177">
        <v>8</v>
      </c>
      <c r="H158" s="156"/>
      <c r="I158" s="156"/>
      <c r="J158" s="156"/>
    </row>
    <row r="159" spans="1:11" hidden="1" x14ac:dyDescent="0.2">
      <c r="A159" s="43"/>
      <c r="B159" s="370" t="s">
        <v>10</v>
      </c>
      <c r="C159" s="238" t="str">
        <f>IF(COUNT(C106,C108)=2,IF(C106&lt;C108,B106,B108),"")</f>
        <v/>
      </c>
      <c r="D159" s="323"/>
      <c r="E159" s="180">
        <f>IF(C159="-",0,IF(C157="-",13,""))</f>
        <v>13</v>
      </c>
      <c r="F159" s="202"/>
      <c r="G159" s="156"/>
      <c r="H159" s="156"/>
      <c r="I159" s="156"/>
      <c r="J159" s="156"/>
    </row>
    <row r="160" spans="1:11" hidden="1" x14ac:dyDescent="0.2">
      <c r="A160" s="43"/>
      <c r="B160" s="374"/>
      <c r="C160" s="172"/>
      <c r="D160" s="43"/>
      <c r="E160" s="156"/>
      <c r="F160" s="181"/>
      <c r="G160" s="179" t="str">
        <f>IF(COUNT(G158,G162)=2,IF(G158&gt;G162,E158,E162),"")</f>
        <v/>
      </c>
      <c r="H160" s="156"/>
      <c r="I160" s="177">
        <v>13</v>
      </c>
      <c r="J160" s="156"/>
    </row>
    <row r="161" spans="1:11" hidden="1" x14ac:dyDescent="0.2">
      <c r="A161" s="43"/>
      <c r="B161" s="370" t="s">
        <v>11</v>
      </c>
      <c r="C161" s="238" t="str">
        <f>IF(COUNT(C110,C112)=2,IF(C110&lt;C112,B110,B112),"")</f>
        <v/>
      </c>
      <c r="D161" s="43"/>
      <c r="E161" s="177">
        <f>IF(C161="-",0,IF(C163="-",13,""))</f>
        <v>13</v>
      </c>
      <c r="F161" s="181"/>
      <c r="G161" s="182"/>
      <c r="H161" s="202"/>
      <c r="I161" s="156"/>
      <c r="J161" s="156"/>
    </row>
    <row r="162" spans="1:11" hidden="1" x14ac:dyDescent="0.2">
      <c r="A162" s="43"/>
      <c r="B162" s="374"/>
      <c r="C162" s="234"/>
      <c r="D162" s="201"/>
      <c r="E162" s="179" t="str">
        <f>IF(COUNT(E161,E163)=2,IF(E161&gt;E163,C161,C163),"")</f>
        <v/>
      </c>
      <c r="F162" s="236"/>
      <c r="G162" s="180">
        <v>13</v>
      </c>
      <c r="H162" s="181"/>
      <c r="I162" s="156"/>
      <c r="J162" s="156"/>
    </row>
    <row r="163" spans="1:11" hidden="1" x14ac:dyDescent="0.2">
      <c r="A163" s="43"/>
      <c r="B163" s="374"/>
      <c r="C163" s="238" t="str">
        <f>IF(COUNT(C114,C116)=2,IF(C114&lt;C116,B114,B116),"")</f>
        <v>-</v>
      </c>
      <c r="D163" s="323"/>
      <c r="E163" s="180">
        <f>IF(C163="-",0,IF(C161="-",13,""))</f>
        <v>0</v>
      </c>
      <c r="F163" s="156"/>
      <c r="G163" s="168"/>
      <c r="H163" s="181"/>
      <c r="I163" s="156"/>
      <c r="J163" s="156"/>
    </row>
    <row r="164" spans="1:11" ht="13.5" hidden="1" thickBot="1" x14ac:dyDescent="0.25">
      <c r="A164" s="43"/>
      <c r="B164" s="374"/>
      <c r="C164" s="172"/>
      <c r="D164" s="43"/>
      <c r="E164" s="156"/>
      <c r="F164" s="156"/>
      <c r="G164" s="168"/>
      <c r="H164" s="181"/>
      <c r="I164" s="156"/>
      <c r="J164" s="165" t="str">
        <f>IF(COUNT(I160,I168)=2,IF(I160&gt;I168,G160,G168),"")</f>
        <v/>
      </c>
    </row>
    <row r="165" spans="1:11" hidden="1" x14ac:dyDescent="0.2">
      <c r="A165" s="43"/>
      <c r="B165" s="374"/>
      <c r="C165" s="238" t="str">
        <f>IF(COUNT(C118,C120)=2,IF(C118&lt;C120,B118,B120),"")</f>
        <v>-</v>
      </c>
      <c r="D165" s="43"/>
      <c r="E165" s="177">
        <f>IF(C165="-",0,IF(C167="-",13,""))</f>
        <v>0</v>
      </c>
      <c r="F165" s="156"/>
      <c r="G165" s="156"/>
      <c r="H165" s="181"/>
      <c r="I165" s="183"/>
      <c r="J165" s="170" t="s">
        <v>169</v>
      </c>
      <c r="K165" s="199"/>
    </row>
    <row r="166" spans="1:11" hidden="1" x14ac:dyDescent="0.2">
      <c r="A166" s="43"/>
      <c r="B166" s="374"/>
      <c r="C166" s="234"/>
      <c r="D166" s="201"/>
      <c r="E166" s="179" t="str">
        <f>IF(COUNT(E165,E167)=2,IF(E165&gt;E167,C165,C167),"")</f>
        <v/>
      </c>
      <c r="F166" s="156"/>
      <c r="G166" s="177">
        <v>13</v>
      </c>
      <c r="H166" s="181"/>
      <c r="I166" s="168"/>
      <c r="J166" s="168"/>
      <c r="K166" s="200"/>
    </row>
    <row r="167" spans="1:11" hidden="1" x14ac:dyDescent="0.2">
      <c r="A167" s="43"/>
      <c r="B167" s="370" t="s">
        <v>12</v>
      </c>
      <c r="C167" s="238" t="str">
        <f>IF(COUNT(C122,C124)=2,IF(C122&lt;C124,B122,B124),"")</f>
        <v/>
      </c>
      <c r="D167" s="323"/>
      <c r="E167" s="180">
        <f>IF(C167="-",0,IF(C165="-",13,""))</f>
        <v>13</v>
      </c>
      <c r="F167" s="202"/>
      <c r="G167" s="156"/>
      <c r="H167" s="181"/>
      <c r="I167" s="168"/>
      <c r="J167" s="168"/>
      <c r="K167" s="200"/>
    </row>
    <row r="168" spans="1:11" hidden="1" x14ac:dyDescent="0.2">
      <c r="A168" s="43"/>
      <c r="B168" s="374"/>
      <c r="C168" s="172"/>
      <c r="D168" s="43"/>
      <c r="E168" s="156"/>
      <c r="F168" s="181"/>
      <c r="G168" s="179" t="str">
        <f>IF(COUNT(G166,G170)=2,IF(G166&gt;G170,E166,E170),"")</f>
        <v/>
      </c>
      <c r="H168" s="236"/>
      <c r="I168" s="180">
        <v>6</v>
      </c>
      <c r="J168" s="168"/>
      <c r="K168" s="200"/>
    </row>
    <row r="169" spans="1:11" ht="13.5" hidden="1" thickBot="1" x14ac:dyDescent="0.25">
      <c r="A169" s="43"/>
      <c r="B169" s="370" t="s">
        <v>13</v>
      </c>
      <c r="C169" s="238" t="str">
        <f>IF(COUNT(C126,C128)=2,IF(C126&lt;C128,B126,B128),"")</f>
        <v/>
      </c>
      <c r="D169" s="43"/>
      <c r="E169" s="177">
        <f>IF(C169="-",0,IF(C171="-",13,""))</f>
        <v>13</v>
      </c>
      <c r="F169" s="181"/>
      <c r="G169" s="182"/>
      <c r="H169" s="168"/>
      <c r="I169" s="168"/>
      <c r="J169" s="319" t="str">
        <f>IF(COUNT(I160,I168)=2,IF(I160&lt;I168,G160,G168),"")</f>
        <v/>
      </c>
      <c r="K169" s="320"/>
    </row>
    <row r="170" spans="1:11" hidden="1" x14ac:dyDescent="0.2">
      <c r="A170" s="43"/>
      <c r="B170" s="374"/>
      <c r="C170" s="234"/>
      <c r="D170" s="201"/>
      <c r="E170" s="179" t="str">
        <f>IF(COUNT(E169,E171)=2,IF(E169&gt;E171,C169,C171),"")</f>
        <v/>
      </c>
      <c r="F170" s="236"/>
      <c r="G170" s="180">
        <v>10</v>
      </c>
      <c r="H170" s="156"/>
      <c r="I170" s="168"/>
      <c r="J170" s="173" t="s">
        <v>171</v>
      </c>
    </row>
    <row r="171" spans="1:11" hidden="1" x14ac:dyDescent="0.2">
      <c r="A171" s="43"/>
      <c r="B171" s="374"/>
      <c r="C171" s="238" t="str">
        <f>IF(COUNT(C130,C132)=2,IF(C130&lt;C132,B130,B132),"")</f>
        <v>-</v>
      </c>
      <c r="D171" s="323"/>
      <c r="E171" s="180">
        <f>IF(C171="-",0,IF(C169="-",13,""))</f>
        <v>0</v>
      </c>
      <c r="F171" s="156"/>
      <c r="G171" s="168"/>
      <c r="H171" s="168"/>
      <c r="I171" s="168"/>
      <c r="J171" s="156"/>
    </row>
    <row r="172" spans="1:11" hidden="1" x14ac:dyDescent="0.2">
      <c r="A172" s="43"/>
      <c r="B172" s="43"/>
      <c r="C172" s="43"/>
      <c r="D172" s="43"/>
      <c r="E172" s="156"/>
      <c r="F172" s="156"/>
      <c r="G172" s="165" t="str">
        <f>IF(COUNT(G158,G162)=2,IF(G158&lt;G162,E158,E162),"")</f>
        <v/>
      </c>
      <c r="H172" s="156"/>
      <c r="I172" s="184">
        <v>7</v>
      </c>
      <c r="J172" s="156"/>
    </row>
    <row r="173" spans="1:11" ht="13.5" hidden="1" thickBot="1" x14ac:dyDescent="0.25">
      <c r="A173" s="43"/>
      <c r="B173" s="43"/>
      <c r="C173" s="43"/>
      <c r="D173" s="43"/>
      <c r="E173" s="156"/>
      <c r="F173" s="156"/>
      <c r="G173" s="237"/>
      <c r="H173" s="202"/>
      <c r="I173" s="321"/>
      <c r="J173" s="165" t="str">
        <f>IF(COUNT(I172,I174)=2,IF(I172&gt;I174,G172,G174),"")</f>
        <v/>
      </c>
    </row>
    <row r="174" spans="1:11" hidden="1" x14ac:dyDescent="0.2">
      <c r="A174" s="43"/>
      <c r="B174" s="43"/>
      <c r="C174" s="43"/>
      <c r="D174" s="43"/>
      <c r="E174" s="156"/>
      <c r="F174" s="156"/>
      <c r="G174" s="238" t="str">
        <f>IF(COUNT(G166,G170)=2,IF(G166&lt;G170,E166,E170),"")</f>
        <v/>
      </c>
      <c r="H174" s="236"/>
      <c r="I174" s="180">
        <v>13</v>
      </c>
      <c r="J174" s="170" t="s">
        <v>172</v>
      </c>
      <c r="K174" s="199"/>
    </row>
    <row r="175" spans="1:11" hidden="1" x14ac:dyDescent="0.2">
      <c r="A175" s="43"/>
      <c r="B175" s="43"/>
      <c r="C175" s="43"/>
      <c r="D175" s="156"/>
      <c r="E175" s="156"/>
      <c r="F175" s="156"/>
      <c r="G175" s="156"/>
      <c r="H175" s="156"/>
      <c r="I175" s="156"/>
      <c r="J175" s="168"/>
      <c r="K175" s="200"/>
    </row>
    <row r="176" spans="1:11" ht="13.5" hidden="1" thickBot="1" x14ac:dyDescent="0.25">
      <c r="A176" s="43"/>
      <c r="B176" s="43"/>
      <c r="C176" s="43"/>
      <c r="D176" s="156"/>
      <c r="E176" s="156"/>
      <c r="F176" s="156"/>
      <c r="G176" s="168"/>
      <c r="H176" s="168"/>
      <c r="I176" s="156"/>
      <c r="J176" s="319" t="str">
        <f>IF(COUNT(I172,I174)=2,IF(I172&lt;I174,G172,G174),"")</f>
        <v/>
      </c>
      <c r="K176" s="320"/>
    </row>
    <row r="177" spans="1:11" hidden="1" x14ac:dyDescent="0.2">
      <c r="A177" s="43"/>
      <c r="B177" s="43"/>
      <c r="C177" s="43"/>
      <c r="D177" s="156"/>
      <c r="E177" s="156"/>
      <c r="F177" s="156"/>
      <c r="G177" s="156"/>
      <c r="H177" s="156"/>
      <c r="I177" s="156"/>
      <c r="J177" s="155" t="s">
        <v>173</v>
      </c>
    </row>
    <row r="178" spans="1:11" hidden="1" x14ac:dyDescent="0.2">
      <c r="A178" s="43"/>
      <c r="B178" s="43"/>
      <c r="C178" s="43"/>
      <c r="D178" s="156"/>
      <c r="E178" s="156"/>
      <c r="F178" s="156"/>
      <c r="G178" s="156"/>
      <c r="H178" s="156"/>
      <c r="I178" s="156"/>
      <c r="J178" s="156"/>
    </row>
    <row r="179" spans="1:11" hidden="1" x14ac:dyDescent="0.2">
      <c r="A179" s="43"/>
      <c r="B179" s="43"/>
      <c r="C179" s="43"/>
      <c r="D179" s="156"/>
      <c r="E179" s="238" t="str">
        <f>IF(COUNT(E157,E159)=2,IF(E157&lt;E159,C157,C159),"")</f>
        <v>-</v>
      </c>
      <c r="F179" s="156"/>
      <c r="G179" s="177">
        <f>IF(E179="-",0,IF(E181="-",13,""))</f>
        <v>0</v>
      </c>
      <c r="H179" s="177"/>
      <c r="I179" s="177"/>
      <c r="J179" s="156"/>
    </row>
    <row r="180" spans="1:11" hidden="1" x14ac:dyDescent="0.2">
      <c r="A180" s="43"/>
      <c r="B180" s="43"/>
      <c r="C180" s="43"/>
      <c r="D180" s="156"/>
      <c r="E180" s="239"/>
      <c r="F180" s="203"/>
      <c r="G180" s="179" t="str">
        <f>IF(COUNT(G179,G181)=2,IF(G179&gt;G181,E179,E181),"")</f>
        <v>-</v>
      </c>
      <c r="H180" s="156"/>
      <c r="I180" s="177">
        <f>IF(G180="-",0,IF(G184="-",13,""))</f>
        <v>0</v>
      </c>
      <c r="J180" s="156"/>
    </row>
    <row r="181" spans="1:11" hidden="1" x14ac:dyDescent="0.2">
      <c r="A181" s="43"/>
      <c r="B181" s="43"/>
      <c r="C181" s="43"/>
      <c r="D181" s="156"/>
      <c r="E181" s="238" t="str">
        <f>IF(COUNT(E161,E163)=2,IF(E161&lt;E163,C161,C163),"")</f>
        <v>-</v>
      </c>
      <c r="F181" s="240"/>
      <c r="G181" s="180">
        <f>IF(E181="-",0,IF(E179="-",13,""))</f>
        <v>0</v>
      </c>
      <c r="H181" s="203"/>
      <c r="I181" s="156"/>
      <c r="J181" s="156"/>
    </row>
    <row r="182" spans="1:11" ht="13.5" hidden="1" thickBot="1" x14ac:dyDescent="0.25">
      <c r="A182" s="43"/>
      <c r="B182" s="43"/>
      <c r="C182" s="43"/>
      <c r="D182" s="156"/>
      <c r="E182" s="177"/>
      <c r="F182" s="177"/>
      <c r="G182" s="184"/>
      <c r="H182" s="185"/>
      <c r="I182" s="204" t="str">
        <f>IF(COUNT(I180,I184)=2,IF(I180&gt;I184,G180,G184),"")</f>
        <v>-</v>
      </c>
      <c r="J182" s="165" t="str">
        <f>IF(COUNT(I180,I184)=2,IF(I180&gt;I184,G180,G184),"")</f>
        <v>-</v>
      </c>
    </row>
    <row r="183" spans="1:11" hidden="1" x14ac:dyDescent="0.2">
      <c r="A183" s="43"/>
      <c r="B183" s="43"/>
      <c r="C183" s="43"/>
      <c r="D183" s="156"/>
      <c r="E183" s="238" t="str">
        <f>IF(COUNT(E165,E167)=2,IF(E165&lt;E167,C165,C167),"")</f>
        <v>-</v>
      </c>
      <c r="F183" s="177"/>
      <c r="G183" s="177">
        <f>IF(E183="-",0,IF(E185="-",13,""))</f>
        <v>0</v>
      </c>
      <c r="H183" s="185"/>
      <c r="I183" s="183"/>
      <c r="J183" s="170"/>
      <c r="K183" s="199"/>
    </row>
    <row r="184" spans="1:11" hidden="1" x14ac:dyDescent="0.2">
      <c r="A184" s="43"/>
      <c r="B184" s="43"/>
      <c r="C184" s="43"/>
      <c r="D184" s="156"/>
      <c r="E184" s="239"/>
      <c r="F184" s="203"/>
      <c r="G184" s="179" t="str">
        <f>IF(COUNT(G183,G185)=2,IF(G183&gt;G185,E183,E185),"")</f>
        <v>-</v>
      </c>
      <c r="H184" s="236"/>
      <c r="I184" s="180">
        <f>IF(G184="-",0,IF(G180="-",13,""))</f>
        <v>0</v>
      </c>
      <c r="J184" s="168"/>
      <c r="K184" s="200"/>
    </row>
    <row r="185" spans="1:11" ht="13.5" hidden="1" thickBot="1" x14ac:dyDescent="0.25">
      <c r="A185" s="43"/>
      <c r="B185" s="43"/>
      <c r="C185" s="43"/>
      <c r="D185" s="156"/>
      <c r="E185" s="238" t="str">
        <f>IF(COUNT(E169,E171)=2,IF(E169&lt;E171,C169,C171),"")</f>
        <v>-</v>
      </c>
      <c r="F185" s="240"/>
      <c r="G185" s="180">
        <f>IF(E185="-",0,IF(E183="-",13,""))</f>
        <v>0</v>
      </c>
      <c r="H185" s="177"/>
      <c r="I185" s="184"/>
      <c r="J185" s="319" t="str">
        <f>IF(COUNT(I180,I184)=2,IF(I180&lt;I184,G180,G184),"")</f>
        <v>-</v>
      </c>
      <c r="K185" s="320"/>
    </row>
    <row r="186" spans="1:11" hidden="1" x14ac:dyDescent="0.2">
      <c r="A186" s="43"/>
      <c r="B186" s="43"/>
      <c r="C186" s="43"/>
      <c r="D186" s="156"/>
      <c r="E186" s="177"/>
      <c r="F186" s="177"/>
      <c r="G186" s="177"/>
      <c r="H186" s="177"/>
      <c r="I186" s="184"/>
      <c r="J186" s="155"/>
    </row>
    <row r="187" spans="1:11" hidden="1" x14ac:dyDescent="0.2">
      <c r="A187" s="43"/>
      <c r="B187" s="43"/>
      <c r="C187" s="43"/>
      <c r="D187" s="156"/>
      <c r="E187" s="177"/>
      <c r="F187" s="184"/>
      <c r="G187" s="165" t="str">
        <f>IF(COUNT(G179,G181)=2,IF(G179&lt;G181,E179,E181),"")</f>
        <v>-</v>
      </c>
      <c r="H187" s="156"/>
      <c r="I187" s="184">
        <f>IF(G187="-",0,IF(G189="-",13,""))</f>
        <v>0</v>
      </c>
      <c r="J187" s="168"/>
    </row>
    <row r="188" spans="1:11" ht="13.5" hidden="1" thickBot="1" x14ac:dyDescent="0.25">
      <c r="A188" s="43"/>
      <c r="B188" s="43"/>
      <c r="C188" s="43"/>
      <c r="D188" s="156"/>
      <c r="E188" s="177"/>
      <c r="F188" s="184"/>
      <c r="G188" s="237"/>
      <c r="H188" s="202"/>
      <c r="I188" s="321" t="str">
        <f>IF(COUNT(I187,I189)=2,IF(I187&gt;I189,G187,G189),"")</f>
        <v>-</v>
      </c>
      <c r="J188" s="165" t="str">
        <f>IF(COUNT(I187,I189)=2,IF(I187&gt;I189,G187,G189),"")</f>
        <v>-</v>
      </c>
    </row>
    <row r="189" spans="1:11" hidden="1" x14ac:dyDescent="0.2">
      <c r="A189" s="43"/>
      <c r="B189" s="43"/>
      <c r="C189" s="43"/>
      <c r="D189" s="156"/>
      <c r="E189" s="177"/>
      <c r="F189" s="184"/>
      <c r="G189" s="238" t="str">
        <f>IF(COUNT(G183,G185)=2,IF(G183&lt;G185,E183,E185),"")</f>
        <v>-</v>
      </c>
      <c r="H189" s="236"/>
      <c r="I189" s="180">
        <f>IF(G189="-",0,IF(G187="-",13,""))</f>
        <v>0</v>
      </c>
      <c r="J189" s="170"/>
      <c r="K189" s="199"/>
    </row>
    <row r="190" spans="1:11" hidden="1" x14ac:dyDescent="0.2">
      <c r="A190" s="43"/>
      <c r="B190" s="43"/>
      <c r="C190" s="43"/>
      <c r="D190" s="156"/>
      <c r="E190" s="156"/>
      <c r="F190" s="168"/>
      <c r="G190" s="156"/>
      <c r="H190" s="156"/>
      <c r="I190" s="156"/>
      <c r="J190" s="168"/>
      <c r="K190" s="200"/>
    </row>
    <row r="191" spans="1:11" ht="13.5" hidden="1" thickBot="1" x14ac:dyDescent="0.25">
      <c r="A191" s="43"/>
      <c r="B191" s="43"/>
      <c r="C191" s="43"/>
      <c r="D191" s="156"/>
      <c r="E191" s="156"/>
      <c r="F191" s="156"/>
      <c r="G191" s="168"/>
      <c r="H191" s="168"/>
      <c r="I191" s="156"/>
      <c r="J191" s="322" t="str">
        <f>IF(COUNT(I187,I189)=2,IF(I187&lt;I189,G187,G189),"")</f>
        <v>-</v>
      </c>
      <c r="K191" s="320"/>
    </row>
    <row r="192" spans="1:11" hidden="1" x14ac:dyDescent="0.2">
      <c r="A192" s="43"/>
      <c r="B192" s="43"/>
      <c r="C192" s="43"/>
      <c r="D192" s="156"/>
      <c r="E192" s="156"/>
      <c r="F192" s="156"/>
      <c r="G192" s="168"/>
      <c r="H192" s="168"/>
      <c r="I192" s="156"/>
      <c r="J192" s="155"/>
    </row>
    <row r="193" spans="1:11" hidden="1" x14ac:dyDescent="0.2">
      <c r="A193" s="43"/>
      <c r="B193" s="43"/>
      <c r="C193" s="43"/>
      <c r="D193" s="43"/>
      <c r="E193" s="43"/>
      <c r="F193" s="43"/>
      <c r="G193" s="43"/>
      <c r="H193" s="43"/>
      <c r="I193" s="43"/>
      <c r="J193" s="43"/>
    </row>
    <row r="194" spans="1:11" hidden="1" x14ac:dyDescent="0.2">
      <c r="A194" s="197" t="s">
        <v>216</v>
      </c>
      <c r="B194" s="43"/>
      <c r="C194" s="43"/>
      <c r="D194" s="43"/>
      <c r="E194" s="43"/>
      <c r="F194" s="43"/>
      <c r="G194" s="43"/>
      <c r="H194" s="43"/>
      <c r="I194" s="43"/>
      <c r="J194" s="43"/>
    </row>
    <row r="195" spans="1:11" hidden="1" x14ac:dyDescent="0.2">
      <c r="A195" s="43"/>
      <c r="B195" s="43"/>
      <c r="C195" s="43"/>
      <c r="D195" s="43"/>
      <c r="E195" s="43"/>
      <c r="F195" s="43"/>
      <c r="G195" s="43"/>
      <c r="H195" s="43"/>
      <c r="I195" s="43"/>
      <c r="J195" s="43"/>
    </row>
    <row r="196" spans="1:11" hidden="1" x14ac:dyDescent="0.2">
      <c r="B196" s="198" t="s">
        <v>165</v>
      </c>
      <c r="C196" s="318" t="str">
        <f>IF(B196="-","-",IFERROR(INDEX(B$1:B$100,MATCH(B196,I$1:I$100,0)),""))</f>
        <v/>
      </c>
      <c r="D196" s="43"/>
      <c r="E196" s="177">
        <f>IF(C196="-",0,IF(C198="-",13,""))</f>
        <v>13</v>
      </c>
      <c r="F196" s="156"/>
      <c r="G196" s="156"/>
      <c r="H196" s="156"/>
      <c r="I196" s="156"/>
      <c r="J196" s="156"/>
    </row>
    <row r="197" spans="1:11" hidden="1" x14ac:dyDescent="0.2">
      <c r="B197" s="198"/>
      <c r="C197" s="234"/>
      <c r="D197" s="201"/>
      <c r="E197" s="179" t="str">
        <f>IF(COUNT(E196,E198)=2,IF(E196&gt;E198,C196,C198),"")</f>
        <v/>
      </c>
      <c r="F197" s="156"/>
      <c r="G197" s="177">
        <v>13</v>
      </c>
      <c r="H197" s="156"/>
      <c r="I197" s="156"/>
      <c r="J197" s="156"/>
    </row>
    <row r="198" spans="1:11" hidden="1" x14ac:dyDescent="0.2">
      <c r="B198" s="198" t="s">
        <v>167</v>
      </c>
      <c r="C198" s="318" t="str">
        <f>IF(B198="-","-",IFERROR(INDEX(B$1:B$100,MATCH(B198,I$1:I$100,0)),""))</f>
        <v>-</v>
      </c>
      <c r="D198" s="323"/>
      <c r="E198" s="180">
        <f>IF(C198="-",0,IF(C196="-",13,""))</f>
        <v>0</v>
      </c>
      <c r="F198" s="202"/>
      <c r="G198" s="156"/>
      <c r="H198" s="156"/>
      <c r="I198" s="156"/>
      <c r="J198" s="156"/>
    </row>
    <row r="199" spans="1:11" hidden="1" x14ac:dyDescent="0.2">
      <c r="B199" s="198"/>
      <c r="C199" s="172"/>
      <c r="D199" s="43"/>
      <c r="E199" s="156"/>
      <c r="F199" s="181"/>
      <c r="G199" s="179" t="str">
        <f>IF(COUNT(G197,G201)=2,IF(G197&gt;G201,E197,E201),"")</f>
        <v/>
      </c>
      <c r="H199" s="156"/>
      <c r="I199" s="177">
        <v>13</v>
      </c>
      <c r="J199" s="156"/>
    </row>
    <row r="200" spans="1:11" hidden="1" x14ac:dyDescent="0.2">
      <c r="B200" s="198" t="s">
        <v>187</v>
      </c>
      <c r="C200" s="318" t="str">
        <f>IF(B200="-","-",IFERROR(INDEX(B$1:B$100,MATCH(B200,I$1:I$100,0)),""))</f>
        <v/>
      </c>
      <c r="D200" s="43"/>
      <c r="E200" s="177">
        <v>13</v>
      </c>
      <c r="F200" s="181"/>
      <c r="G200" s="182"/>
      <c r="H200" s="202"/>
      <c r="I200" s="156"/>
      <c r="J200" s="156"/>
    </row>
    <row r="201" spans="1:11" hidden="1" x14ac:dyDescent="0.2">
      <c r="B201" s="198"/>
      <c r="C201" s="234"/>
      <c r="D201" s="375" t="s">
        <v>23</v>
      </c>
      <c r="E201" s="383" t="str">
        <f>IF(COUNT(E200,E202)=2,IF(E200&gt;E202,C200,C202),"")</f>
        <v/>
      </c>
      <c r="F201" s="236"/>
      <c r="G201" s="180">
        <v>1</v>
      </c>
      <c r="H201" s="181"/>
      <c r="I201" s="156"/>
      <c r="J201" s="156"/>
    </row>
    <row r="202" spans="1:11" hidden="1" x14ac:dyDescent="0.2">
      <c r="B202" s="198" t="s">
        <v>170</v>
      </c>
      <c r="C202" s="318" t="str">
        <f>IF(B202="-","-",IFERROR(INDEX(B$1:B$100,MATCH(B202,I$1:I$100,0)),""))</f>
        <v/>
      </c>
      <c r="D202" s="323"/>
      <c r="E202" s="180">
        <v>9</v>
      </c>
      <c r="F202" s="156"/>
      <c r="G202" s="168"/>
      <c r="H202" s="181"/>
      <c r="I202" s="156"/>
      <c r="J202" s="156"/>
    </row>
    <row r="203" spans="1:11" ht="13.5" hidden="1" thickBot="1" x14ac:dyDescent="0.25">
      <c r="B203" s="198"/>
      <c r="C203" s="172"/>
      <c r="D203" s="43"/>
      <c r="E203" s="156"/>
      <c r="F203" s="156"/>
      <c r="G203" s="168"/>
      <c r="H203" s="181"/>
      <c r="I203" s="156"/>
      <c r="J203" s="165" t="str">
        <f>IF(COUNT(I199,I207)=2,IF(I199&gt;I207,G199,G207),"")</f>
        <v/>
      </c>
    </row>
    <row r="204" spans="1:11" hidden="1" x14ac:dyDescent="0.2">
      <c r="B204" s="198" t="s">
        <v>168</v>
      </c>
      <c r="C204" s="318" t="str">
        <f>IF(B204="-","-",IFERROR(INDEX(B$1:B$100,MATCH(B204,I$1:I$100,0)),""))</f>
        <v/>
      </c>
      <c r="D204" s="43"/>
      <c r="E204" s="177">
        <v>13</v>
      </c>
      <c r="F204" s="156"/>
      <c r="G204" s="156"/>
      <c r="H204" s="181"/>
      <c r="I204" s="183"/>
      <c r="J204" s="170" t="s">
        <v>174</v>
      </c>
      <c r="K204" s="199"/>
    </row>
    <row r="205" spans="1:11" hidden="1" x14ac:dyDescent="0.2">
      <c r="B205" s="198"/>
      <c r="C205" s="234"/>
      <c r="D205" s="375" t="s">
        <v>24</v>
      </c>
      <c r="E205" s="179" t="str">
        <f>IF(COUNT(E204,E206)=2,IF(E204&gt;E206,C204,C206),"")</f>
        <v/>
      </c>
      <c r="F205" s="156"/>
      <c r="G205" s="177">
        <v>13</v>
      </c>
      <c r="H205" s="181"/>
      <c r="I205" s="168"/>
      <c r="J205" s="168"/>
      <c r="K205" s="200"/>
    </row>
    <row r="206" spans="1:11" hidden="1" x14ac:dyDescent="0.2">
      <c r="B206" s="198" t="s">
        <v>188</v>
      </c>
      <c r="C206" s="318" t="str">
        <f>IF(B206="-","-",IFERROR(INDEX(B$1:B$100,MATCH(B206,I$1:I$100,0)),""))</f>
        <v/>
      </c>
      <c r="D206" s="323"/>
      <c r="E206" s="180">
        <v>2</v>
      </c>
      <c r="F206" s="202"/>
      <c r="G206" s="156"/>
      <c r="H206" s="181"/>
      <c r="I206" s="168"/>
      <c r="J206" s="168"/>
      <c r="K206" s="200"/>
    </row>
    <row r="207" spans="1:11" hidden="1" x14ac:dyDescent="0.2">
      <c r="B207" s="198"/>
      <c r="C207" s="172"/>
      <c r="D207" s="43"/>
      <c r="E207" s="156"/>
      <c r="F207" s="181"/>
      <c r="G207" s="179" t="str">
        <f>IF(COUNT(G205,G209)=2,IF(G205&gt;G209,E205,E209),"")</f>
        <v/>
      </c>
      <c r="H207" s="236"/>
      <c r="I207" s="180">
        <v>11</v>
      </c>
      <c r="J207" s="168"/>
      <c r="K207" s="200"/>
    </row>
    <row r="208" spans="1:11" ht="13.5" hidden="1" thickBot="1" x14ac:dyDescent="0.25">
      <c r="B208" s="198" t="s">
        <v>167</v>
      </c>
      <c r="C208" s="318" t="str">
        <f>IF(B208="-","-",IFERROR(INDEX(B$1:B$100,MATCH(B208,I$1:I$100,0)),""))</f>
        <v>-</v>
      </c>
      <c r="D208" s="43"/>
      <c r="E208" s="177">
        <f>IF(C208="-",0,IF(C210="-",13,""))</f>
        <v>0</v>
      </c>
      <c r="F208" s="181"/>
      <c r="G208" s="182"/>
      <c r="H208" s="168"/>
      <c r="I208" s="168"/>
      <c r="J208" s="319" t="str">
        <f>IF(COUNT(I199,I207)=2,IF(I199&lt;I207,G199,G207),"")</f>
        <v/>
      </c>
      <c r="K208" s="320"/>
    </row>
    <row r="209" spans="2:11" hidden="1" x14ac:dyDescent="0.2">
      <c r="B209" s="198"/>
      <c r="C209" s="234"/>
      <c r="D209" s="201"/>
      <c r="E209" s="179" t="str">
        <f>IF(COUNT(E208,E210)=2,IF(E208&gt;E210,C208,C210),"")</f>
        <v/>
      </c>
      <c r="F209" s="236"/>
      <c r="G209" s="180">
        <v>12</v>
      </c>
      <c r="H209" s="156"/>
      <c r="I209" s="168"/>
      <c r="J209" s="173" t="s">
        <v>175</v>
      </c>
    </row>
    <row r="210" spans="2:11" hidden="1" x14ac:dyDescent="0.2">
      <c r="B210" s="198" t="s">
        <v>166</v>
      </c>
      <c r="C210" s="318" t="str">
        <f>IF(B210="-","-",IFERROR(INDEX(B$1:B$100,MATCH(B210,I$1:I$100,0)),""))</f>
        <v/>
      </c>
      <c r="D210" s="323"/>
      <c r="E210" s="180">
        <f>IF(C210="-",0,IF(C208="-",13,""))</f>
        <v>13</v>
      </c>
      <c r="F210" s="156"/>
      <c r="G210" s="168"/>
      <c r="H210" s="168"/>
      <c r="I210" s="168"/>
      <c r="J210" s="156"/>
    </row>
    <row r="211" spans="2:11" hidden="1" x14ac:dyDescent="0.2">
      <c r="C211" s="43"/>
      <c r="D211" s="43"/>
      <c r="E211" s="156"/>
      <c r="F211" s="156"/>
      <c r="G211" s="165" t="str">
        <f>IF(COUNT(G197,G201)=2,IF(G197&lt;G201,E197,E201),"")</f>
        <v/>
      </c>
      <c r="H211" s="156"/>
      <c r="I211" s="184">
        <v>3</v>
      </c>
      <c r="J211" s="156"/>
    </row>
    <row r="212" spans="2:11" ht="13.5" hidden="1" thickBot="1" x14ac:dyDescent="0.25">
      <c r="C212" s="43"/>
      <c r="D212" s="43"/>
      <c r="E212" s="156"/>
      <c r="F212" s="156"/>
      <c r="G212" s="237"/>
      <c r="H212" s="202"/>
      <c r="I212" s="321"/>
      <c r="J212" s="165" t="str">
        <f>IF(COUNT(I211,I213)=2,IF(I211&gt;I213,G211,G213),"")</f>
        <v/>
      </c>
    </row>
    <row r="213" spans="2:11" hidden="1" x14ac:dyDescent="0.2">
      <c r="C213" s="43"/>
      <c r="D213" s="43"/>
      <c r="E213" s="156"/>
      <c r="F213" s="156"/>
      <c r="G213" s="238" t="str">
        <f>IF(COUNT(G205,G209)=2,IF(G205&lt;G209,E205,E209),"")</f>
        <v/>
      </c>
      <c r="H213" s="236"/>
      <c r="I213" s="180">
        <v>13</v>
      </c>
      <c r="J213" s="170" t="s">
        <v>177</v>
      </c>
      <c r="K213" s="199"/>
    </row>
    <row r="214" spans="2:11" hidden="1" x14ac:dyDescent="0.2">
      <c r="C214" s="43"/>
      <c r="D214" s="156"/>
      <c r="E214" s="156"/>
      <c r="F214" s="156"/>
      <c r="G214" s="156"/>
      <c r="H214" s="156"/>
      <c r="I214" s="156"/>
      <c r="J214" s="168"/>
      <c r="K214" s="200"/>
    </row>
    <row r="215" spans="2:11" ht="13.5" hidden="1" thickBot="1" x14ac:dyDescent="0.25">
      <c r="C215" s="43"/>
      <c r="D215" s="156"/>
      <c r="E215" s="156"/>
      <c r="F215" s="156"/>
      <c r="G215" s="168"/>
      <c r="H215" s="168"/>
      <c r="I215" s="156"/>
      <c r="J215" s="319" t="str">
        <f>IF(COUNT(I211,I213)=2,IF(I211&lt;I213,G211,G213),"")</f>
        <v/>
      </c>
      <c r="K215" s="320"/>
    </row>
    <row r="216" spans="2:11" hidden="1" x14ac:dyDescent="0.2">
      <c r="C216" s="43"/>
      <c r="D216" s="156"/>
      <c r="E216" s="156"/>
      <c r="F216" s="156"/>
      <c r="G216" s="156"/>
      <c r="H216" s="156"/>
      <c r="I216" s="156"/>
      <c r="J216" s="155" t="s">
        <v>178</v>
      </c>
    </row>
    <row r="217" spans="2:11" hidden="1" x14ac:dyDescent="0.2">
      <c r="C217" s="43"/>
      <c r="D217" s="156"/>
      <c r="E217" s="156"/>
      <c r="F217" s="156"/>
      <c r="G217" s="156"/>
      <c r="H217" s="156"/>
      <c r="I217" s="156"/>
      <c r="J217" s="156"/>
    </row>
    <row r="218" spans="2:11" hidden="1" x14ac:dyDescent="0.2">
      <c r="C218" s="43"/>
      <c r="D218" s="156"/>
      <c r="E218" s="238" t="str">
        <f>IF(COUNT(E196,E198)=2,IF(E196&lt;E198,C196,C198),"")</f>
        <v>-</v>
      </c>
      <c r="F218" s="156"/>
      <c r="G218" s="177">
        <f>IF(E218="-",0,IF(E220="-",13,""))</f>
        <v>0</v>
      </c>
      <c r="H218" s="177"/>
      <c r="I218" s="177"/>
      <c r="J218" s="156"/>
    </row>
    <row r="219" spans="2:11" hidden="1" x14ac:dyDescent="0.2">
      <c r="C219" s="43"/>
      <c r="D219" s="156"/>
      <c r="E219" s="239"/>
      <c r="F219" s="203"/>
      <c r="G219" s="179" t="str">
        <f>IF(COUNT(G218,G220)=2,IF(G218&gt;G220,E218,E220),"")</f>
        <v/>
      </c>
      <c r="H219" s="156"/>
      <c r="I219" s="177">
        <v>5</v>
      </c>
      <c r="J219" s="156"/>
    </row>
    <row r="220" spans="2:11" hidden="1" x14ac:dyDescent="0.2">
      <c r="C220" s="43"/>
      <c r="D220" s="376" t="s">
        <v>23</v>
      </c>
      <c r="E220" s="384" t="str">
        <f>IF(COUNT(E200,E202)=2,IF(E200&lt;E202,C200,C202),"")</f>
        <v/>
      </c>
      <c r="F220" s="240"/>
      <c r="G220" s="180">
        <f>IF(E220="-",0,IF(E218="-",13,""))</f>
        <v>13</v>
      </c>
      <c r="H220" s="203"/>
      <c r="I220" s="156"/>
      <c r="J220" s="156"/>
    </row>
    <row r="221" spans="2:11" ht="13.5" hidden="1" thickBot="1" x14ac:dyDescent="0.25">
      <c r="C221" s="43"/>
      <c r="D221" s="156"/>
      <c r="E221" s="177"/>
      <c r="F221" s="177"/>
      <c r="G221" s="184"/>
      <c r="H221" s="185"/>
      <c r="I221" s="204"/>
      <c r="J221" s="165" t="str">
        <f>IF(COUNT(I219,I223)=2,IF(I219&gt;I223,G219,G223),"")</f>
        <v/>
      </c>
    </row>
    <row r="222" spans="2:11" hidden="1" x14ac:dyDescent="0.2">
      <c r="C222" s="43"/>
      <c r="D222" s="376" t="s">
        <v>24</v>
      </c>
      <c r="E222" s="238" t="str">
        <f>IF(COUNT(E204,E206)=2,IF(E204&lt;E206,C204,C206),"")</f>
        <v/>
      </c>
      <c r="F222" s="177"/>
      <c r="G222" s="177">
        <f>IF(E222="-",0,IF(E224="-",13,""))</f>
        <v>13</v>
      </c>
      <c r="H222" s="185"/>
      <c r="I222" s="183"/>
      <c r="J222" s="170" t="s">
        <v>179</v>
      </c>
      <c r="K222" s="199"/>
    </row>
    <row r="223" spans="2:11" hidden="1" x14ac:dyDescent="0.2">
      <c r="C223" s="43"/>
      <c r="D223" s="156"/>
      <c r="E223" s="239"/>
      <c r="F223" s="203"/>
      <c r="G223" s="179" t="str">
        <f>IF(COUNT(G222,G224)=2,IF(G222&gt;G224,E222,E224),"")</f>
        <v/>
      </c>
      <c r="H223" s="236"/>
      <c r="I223" s="180">
        <v>13</v>
      </c>
      <c r="J223" s="168"/>
      <c r="K223" s="200"/>
    </row>
    <row r="224" spans="2:11" ht="13.5" hidden="1" thickBot="1" x14ac:dyDescent="0.25">
      <c r="C224" s="43"/>
      <c r="D224" s="156"/>
      <c r="E224" s="238" t="str">
        <f>IF(COUNT(E208,E210)=2,IF(E208&lt;E210,C208,C210),"")</f>
        <v>-</v>
      </c>
      <c r="F224" s="240"/>
      <c r="G224" s="180">
        <f>IF(E224="-",0,IF(E222="-",13,""))</f>
        <v>0</v>
      </c>
      <c r="H224" s="177"/>
      <c r="I224" s="184"/>
      <c r="J224" s="319" t="str">
        <f>IF(COUNT(I219,I223)=2,IF(I219&lt;I223,G219,G223),"")</f>
        <v/>
      </c>
      <c r="K224" s="320"/>
    </row>
    <row r="225" spans="3:11" hidden="1" x14ac:dyDescent="0.2">
      <c r="C225" s="43"/>
      <c r="D225" s="156"/>
      <c r="E225" s="177"/>
      <c r="F225" s="177"/>
      <c r="G225" s="177"/>
      <c r="H225" s="177"/>
      <c r="I225" s="184"/>
      <c r="J225" s="155" t="s">
        <v>180</v>
      </c>
    </row>
    <row r="226" spans="3:11" hidden="1" x14ac:dyDescent="0.2">
      <c r="C226" s="43"/>
      <c r="D226" s="156"/>
      <c r="E226" s="177"/>
      <c r="F226" s="184"/>
      <c r="G226" s="165" t="str">
        <f>IF(COUNT(G218,G220)=2,IF(G218&lt;G220,E218,E220),"")</f>
        <v>-</v>
      </c>
      <c r="H226" s="156"/>
      <c r="I226" s="184">
        <f>IF(G226="-",0,IF(G228="-",13,""))</f>
        <v>0</v>
      </c>
      <c r="J226" s="168"/>
    </row>
    <row r="227" spans="3:11" ht="13.5" hidden="1" thickBot="1" x14ac:dyDescent="0.25">
      <c r="C227" s="43"/>
      <c r="D227" s="156"/>
      <c r="E227" s="177"/>
      <c r="F227" s="184"/>
      <c r="G227" s="237"/>
      <c r="H227" s="202"/>
      <c r="I227" s="321"/>
      <c r="J227" s="165" t="str">
        <f>IF(COUNT(I226,I228)=2,IF(I226&gt;I228,G226,G228),"")</f>
        <v>-</v>
      </c>
    </row>
    <row r="228" spans="3:11" hidden="1" x14ac:dyDescent="0.2">
      <c r="C228" s="43"/>
      <c r="D228" s="156"/>
      <c r="E228" s="177"/>
      <c r="F228" s="184"/>
      <c r="G228" s="238" t="str">
        <f>IF(COUNT(G222,G224)=2,IF(G222&lt;G224,E222,E224),"")</f>
        <v>-</v>
      </c>
      <c r="H228" s="236"/>
      <c r="I228" s="180">
        <f>IF(G228="-",0,IF(G226="-",13,""))</f>
        <v>0</v>
      </c>
      <c r="J228" s="170"/>
      <c r="K228" s="199"/>
    </row>
    <row r="229" spans="3:11" hidden="1" x14ac:dyDescent="0.2">
      <c r="C229" s="43"/>
      <c r="D229" s="156"/>
      <c r="E229" s="156"/>
      <c r="F229" s="168"/>
      <c r="G229" s="156"/>
      <c r="H229" s="156"/>
      <c r="I229" s="156"/>
      <c r="J229" s="168"/>
      <c r="K229" s="200"/>
    </row>
    <row r="230" spans="3:11" ht="13.5" hidden="1" thickBot="1" x14ac:dyDescent="0.25">
      <c r="C230" s="43"/>
      <c r="D230" s="156"/>
      <c r="E230" s="156"/>
      <c r="F230" s="156"/>
      <c r="G230" s="168"/>
      <c r="H230" s="168"/>
      <c r="I230" s="156"/>
      <c r="J230" s="322" t="str">
        <f>IF(COUNT(I226,I228)=2,IF(I226&lt;I228,G226,G228),"")</f>
        <v>-</v>
      </c>
      <c r="K230" s="320"/>
    </row>
    <row r="231" spans="3:11" hidden="1" x14ac:dyDescent="0.2">
      <c r="C231" s="43"/>
      <c r="D231" s="156"/>
      <c r="E231" s="156"/>
      <c r="F231" s="156"/>
      <c r="G231" s="168"/>
      <c r="H231" s="168"/>
      <c r="I231" s="156"/>
      <c r="J231" s="155"/>
    </row>
    <row r="232" spans="3:11" hidden="1" x14ac:dyDescent="0.2"/>
    <row r="233" spans="3:11" hidden="1" x14ac:dyDescent="0.2"/>
    <row r="234" spans="3:11" hidden="1" x14ac:dyDescent="0.2"/>
    <row r="235" spans="3:11" hidden="1" x14ac:dyDescent="0.2"/>
    <row r="236" spans="3:11" hidden="1" x14ac:dyDescent="0.2"/>
    <row r="237" spans="3:11" hidden="1" x14ac:dyDescent="0.2"/>
    <row r="238" spans="3:11" hidden="1" x14ac:dyDescent="0.2"/>
    <row r="239" spans="3:11" hidden="1" x14ac:dyDescent="0.2"/>
    <row r="240" spans="3:11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5" hidden="1" x14ac:dyDescent="0.2"/>
    <row r="290" spans="1:5" hidden="1" x14ac:dyDescent="0.2"/>
    <row r="291" spans="1:5" hidden="1" x14ac:dyDescent="0.2"/>
    <row r="292" spans="1:5" hidden="1" x14ac:dyDescent="0.2"/>
    <row r="293" spans="1:5" hidden="1" x14ac:dyDescent="0.2"/>
    <row r="294" spans="1:5" hidden="1" x14ac:dyDescent="0.2"/>
    <row r="295" spans="1:5" hidden="1" x14ac:dyDescent="0.2"/>
    <row r="296" spans="1:5" hidden="1" x14ac:dyDescent="0.2"/>
    <row r="299" spans="1:5" x14ac:dyDescent="0.2">
      <c r="A299" s="157"/>
      <c r="B299" s="157"/>
      <c r="C299" s="207" t="s">
        <v>190</v>
      </c>
      <c r="E299" s="724"/>
    </row>
    <row r="300" spans="1:5" x14ac:dyDescent="0.2">
      <c r="A300" s="301">
        <v>1</v>
      </c>
      <c r="B300" s="394" t="s">
        <v>264</v>
      </c>
      <c r="C300" s="274">
        <f>LARGE(A300:A400,1)*3+3-A300*3</f>
        <v>21</v>
      </c>
      <c r="E300" s="724"/>
    </row>
    <row r="301" spans="1:5" x14ac:dyDescent="0.2">
      <c r="A301" s="301">
        <v>2</v>
      </c>
      <c r="B301" s="394" t="s">
        <v>265</v>
      </c>
      <c r="C301" s="274">
        <f t="shared" ref="C301:C306" si="11">LARGE(A301:A401,1)*3+3-A301*3</f>
        <v>18</v>
      </c>
      <c r="E301" s="724"/>
    </row>
    <row r="302" spans="1:5" x14ac:dyDescent="0.2">
      <c r="A302" s="301">
        <v>3</v>
      </c>
      <c r="B302" s="394" t="s">
        <v>266</v>
      </c>
      <c r="C302" s="274">
        <f t="shared" si="11"/>
        <v>15</v>
      </c>
      <c r="E302" s="724"/>
    </row>
    <row r="303" spans="1:5" x14ac:dyDescent="0.2">
      <c r="A303" s="301">
        <v>4</v>
      </c>
      <c r="B303" s="394" t="s">
        <v>278</v>
      </c>
      <c r="C303" s="274">
        <f t="shared" si="11"/>
        <v>12</v>
      </c>
      <c r="E303" s="724"/>
    </row>
    <row r="304" spans="1:5" x14ac:dyDescent="0.2">
      <c r="A304" s="301">
        <v>5</v>
      </c>
      <c r="B304" s="394" t="s">
        <v>267</v>
      </c>
      <c r="C304" s="274">
        <f t="shared" si="11"/>
        <v>9</v>
      </c>
      <c r="E304" s="724"/>
    </row>
    <row r="305" spans="1:5" x14ac:dyDescent="0.2">
      <c r="A305" s="301">
        <v>6</v>
      </c>
      <c r="B305" s="394" t="s">
        <v>269</v>
      </c>
      <c r="C305" s="274">
        <f t="shared" si="11"/>
        <v>6</v>
      </c>
      <c r="E305" s="724"/>
    </row>
    <row r="306" spans="1:5" x14ac:dyDescent="0.2">
      <c r="A306" s="301">
        <v>7</v>
      </c>
      <c r="B306" s="394" t="s">
        <v>268</v>
      </c>
      <c r="C306" s="274">
        <f t="shared" si="11"/>
        <v>3</v>
      </c>
      <c r="E306" s="724"/>
    </row>
  </sheetData>
  <conditionalFormatting sqref="D7 C8">
    <cfRule type="aboveAverage" dxfId="1098" priority="598"/>
  </conditionalFormatting>
  <conditionalFormatting sqref="E7 C9">
    <cfRule type="aboveAverage" dxfId="1097" priority="597"/>
  </conditionalFormatting>
  <conditionalFormatting sqref="F7 C10">
    <cfRule type="aboveAverage" dxfId="1096" priority="596"/>
  </conditionalFormatting>
  <conditionalFormatting sqref="E8 D9">
    <cfRule type="aboveAverage" dxfId="1095" priority="595"/>
  </conditionalFormatting>
  <conditionalFormatting sqref="G7 C11">
    <cfRule type="aboveAverage" dxfId="1094" priority="594"/>
  </conditionalFormatting>
  <conditionalFormatting sqref="F8 D10">
    <cfRule type="aboveAverage" dxfId="1093" priority="593"/>
  </conditionalFormatting>
  <conditionalFormatting sqref="G8 D11">
    <cfRule type="aboveAverage" dxfId="1092" priority="592"/>
  </conditionalFormatting>
  <conditionalFormatting sqref="F9 E10">
    <cfRule type="aboveAverage" dxfId="1091" priority="591"/>
  </conditionalFormatting>
  <conditionalFormatting sqref="G9 E11">
    <cfRule type="aboveAverage" dxfId="1090" priority="590"/>
  </conditionalFormatting>
  <conditionalFormatting sqref="F11 G10">
    <cfRule type="aboveAverage" dxfId="1089" priority="589"/>
  </conditionalFormatting>
  <conditionalFormatting sqref="D14 C15">
    <cfRule type="aboveAverage" dxfId="1088" priority="588"/>
  </conditionalFormatting>
  <conditionalFormatting sqref="E14 C16">
    <cfRule type="aboveAverage" dxfId="1087" priority="587"/>
  </conditionalFormatting>
  <conditionalFormatting sqref="F14 C17">
    <cfRule type="aboveAverage" dxfId="1086" priority="586"/>
  </conditionalFormatting>
  <conditionalFormatting sqref="E15 D16">
    <cfRule type="aboveAverage" dxfId="1085" priority="585"/>
  </conditionalFormatting>
  <conditionalFormatting sqref="G14 C18">
    <cfRule type="aboveAverage" dxfId="1084" priority="584"/>
  </conditionalFormatting>
  <conditionalFormatting sqref="F15 D17">
    <cfRule type="aboveAverage" dxfId="1083" priority="583"/>
  </conditionalFormatting>
  <conditionalFormatting sqref="G15 D18">
    <cfRule type="aboveAverage" dxfId="1082" priority="582"/>
  </conditionalFormatting>
  <conditionalFormatting sqref="F16 E17">
    <cfRule type="aboveAverage" dxfId="1081" priority="581"/>
  </conditionalFormatting>
  <conditionalFormatting sqref="G16 E18">
    <cfRule type="aboveAverage" dxfId="1080" priority="580"/>
  </conditionalFormatting>
  <conditionalFormatting sqref="F18 G17">
    <cfRule type="aboveAverage" dxfId="1079" priority="579"/>
  </conditionalFormatting>
  <conditionalFormatting sqref="D21 C22">
    <cfRule type="aboveAverage" dxfId="1078" priority="578"/>
  </conditionalFormatting>
  <conditionalFormatting sqref="E21 C23">
    <cfRule type="aboveAverage" dxfId="1077" priority="577"/>
  </conditionalFormatting>
  <conditionalFormatting sqref="F21 C24">
    <cfRule type="aboveAverage" dxfId="1076" priority="576"/>
  </conditionalFormatting>
  <conditionalFormatting sqref="E22 D23">
    <cfRule type="aboveAverage" dxfId="1075" priority="575"/>
  </conditionalFormatting>
  <conditionalFormatting sqref="G21 C25">
    <cfRule type="aboveAverage" dxfId="1074" priority="574"/>
  </conditionalFormatting>
  <conditionalFormatting sqref="F22 D24">
    <cfRule type="aboveAverage" dxfId="1073" priority="573"/>
  </conditionalFormatting>
  <conditionalFormatting sqref="G22 D25">
    <cfRule type="aboveAverage" dxfId="1072" priority="572"/>
  </conditionalFormatting>
  <conditionalFormatting sqref="F23 E24">
    <cfRule type="aboveAverage" dxfId="1071" priority="571"/>
  </conditionalFormatting>
  <conditionalFormatting sqref="G23 E25">
    <cfRule type="aboveAverage" dxfId="1070" priority="570"/>
  </conditionalFormatting>
  <conditionalFormatting sqref="F25 G24">
    <cfRule type="aboveAverage" dxfId="1069" priority="569"/>
  </conditionalFormatting>
  <conditionalFormatting sqref="D28 C29">
    <cfRule type="aboveAverage" dxfId="1068" priority="568"/>
  </conditionalFormatting>
  <conditionalFormatting sqref="E28 C30">
    <cfRule type="aboveAverage" dxfId="1067" priority="567"/>
  </conditionalFormatting>
  <conditionalFormatting sqref="F28 C31">
    <cfRule type="aboveAverage" dxfId="1066" priority="566"/>
  </conditionalFormatting>
  <conditionalFormatting sqref="E29 D30">
    <cfRule type="aboveAverage" dxfId="1065" priority="565"/>
  </conditionalFormatting>
  <conditionalFormatting sqref="G28 C32">
    <cfRule type="aboveAverage" dxfId="1064" priority="564"/>
  </conditionalFormatting>
  <conditionalFormatting sqref="F29 D31">
    <cfRule type="aboveAverage" dxfId="1063" priority="563"/>
  </conditionalFormatting>
  <conditionalFormatting sqref="G29 D32">
    <cfRule type="aboveAverage" dxfId="1062" priority="562"/>
  </conditionalFormatting>
  <conditionalFormatting sqref="F30 E31">
    <cfRule type="aboveAverage" dxfId="1061" priority="561"/>
  </conditionalFormatting>
  <conditionalFormatting sqref="G30 E32">
    <cfRule type="aboveAverage" dxfId="1060" priority="560"/>
  </conditionalFormatting>
  <conditionalFormatting sqref="F32 G31">
    <cfRule type="aboveAverage" dxfId="1059" priority="559"/>
  </conditionalFormatting>
  <conditionalFormatting sqref="D35 C36">
    <cfRule type="aboveAverage" dxfId="1058" priority="558"/>
  </conditionalFormatting>
  <conditionalFormatting sqref="E35 C37">
    <cfRule type="aboveAverage" dxfId="1057" priority="557"/>
  </conditionalFormatting>
  <conditionalFormatting sqref="F35 C38">
    <cfRule type="aboveAverage" dxfId="1056" priority="556"/>
  </conditionalFormatting>
  <conditionalFormatting sqref="E36 D37">
    <cfRule type="aboveAverage" dxfId="1055" priority="555"/>
  </conditionalFormatting>
  <conditionalFormatting sqref="G35 C39">
    <cfRule type="aboveAverage" dxfId="1054" priority="554"/>
  </conditionalFormatting>
  <conditionalFormatting sqref="F36 D38">
    <cfRule type="aboveAverage" dxfId="1053" priority="553"/>
  </conditionalFormatting>
  <conditionalFormatting sqref="G36 D39">
    <cfRule type="aboveAverage" dxfId="1052" priority="552"/>
  </conditionalFormatting>
  <conditionalFormatting sqref="F37 E38">
    <cfRule type="aboveAverage" dxfId="1051" priority="551"/>
  </conditionalFormatting>
  <conditionalFormatting sqref="G37 E39">
    <cfRule type="aboveAverage" dxfId="1050" priority="550"/>
  </conditionalFormatting>
  <conditionalFormatting sqref="F39 G38">
    <cfRule type="aboveAverage" dxfId="1049" priority="549"/>
  </conditionalFormatting>
  <conditionalFormatting sqref="D42 C43">
    <cfRule type="aboveAverage" dxfId="1048" priority="548"/>
  </conditionalFormatting>
  <conditionalFormatting sqref="E42 C44">
    <cfRule type="aboveAverage" dxfId="1047" priority="547"/>
  </conditionalFormatting>
  <conditionalFormatting sqref="F42 C45">
    <cfRule type="aboveAverage" dxfId="1046" priority="546"/>
  </conditionalFormatting>
  <conditionalFormatting sqref="E43 D44">
    <cfRule type="aboveAverage" dxfId="1045" priority="545"/>
  </conditionalFormatting>
  <conditionalFormatting sqref="G42 C46">
    <cfRule type="aboveAverage" dxfId="1044" priority="544"/>
  </conditionalFormatting>
  <conditionalFormatting sqref="F43 D45">
    <cfRule type="aboveAverage" dxfId="1043" priority="543"/>
  </conditionalFormatting>
  <conditionalFormatting sqref="G43 D46">
    <cfRule type="aboveAverage" dxfId="1042" priority="542"/>
  </conditionalFormatting>
  <conditionalFormatting sqref="F44 E45">
    <cfRule type="aboveAverage" dxfId="1041" priority="541"/>
  </conditionalFormatting>
  <conditionalFormatting sqref="G44 E46">
    <cfRule type="aboveAverage" dxfId="1040" priority="540"/>
  </conditionalFormatting>
  <conditionalFormatting sqref="F46 G45">
    <cfRule type="aboveAverage" dxfId="1039" priority="539"/>
  </conditionalFormatting>
  <conditionalFormatting sqref="H14:H18">
    <cfRule type="expression" dxfId="1038" priority="449">
      <formula>AND(Q14=4,IF(COUNTIF(Q$14:Q$18,"=4")&gt;=2,TRUE))</formula>
    </cfRule>
    <cfRule type="expression" dxfId="1037" priority="599">
      <formula>AND(Q14=3,IF(COUNTIF(Q$14:Q$18,"=3")&gt;=2,TRUE))</formula>
    </cfRule>
    <cfRule type="expression" dxfId="1036" priority="600">
      <formula>AND(Q14=2,IF(COUNTIF(Q$14:Q$18,"=2")&gt;=2,TRUE))</formula>
    </cfRule>
    <cfRule type="expression" dxfId="1035" priority="601">
      <formula>AND(Q14=1,IF(COUNTIF(Q$14:Q$18,"=1")&gt;=2,TRUE))</formula>
    </cfRule>
  </conditionalFormatting>
  <conditionalFormatting sqref="B7:B47">
    <cfRule type="duplicateValues" dxfId="1034" priority="504"/>
  </conditionalFormatting>
  <conditionalFormatting sqref="L7:L11">
    <cfRule type="expression" dxfId="1033" priority="487">
      <formula>K7=0</formula>
    </cfRule>
    <cfRule type="expression" dxfId="1032" priority="496">
      <formula>IF(COUNTIF(J$7:J$11,"=2")=2,TRUE)</formula>
    </cfRule>
    <cfRule type="expression" dxfId="1031" priority="497">
      <formula>IF(COUNTIF(J$7:J$11,"=1")=2,TRUE)</formula>
    </cfRule>
    <cfRule type="expression" dxfId="1030" priority="498">
      <formula>AND(IF(COUNTIF(Q$7:Q$11,"=1")=2,TRUE),IF(COUNTIF(Q$7:Q$11,"=2")=2,TRUE))</formula>
    </cfRule>
    <cfRule type="expression" dxfId="1029" priority="499">
      <formula>AND(Q7=4,IF(COUNTIF(Q$7:Q$11,"=4")=1,TRUE))</formula>
    </cfRule>
    <cfRule type="expression" dxfId="1028" priority="500">
      <formula>AND(Q7=3,IF(COUNTIF(Q$7:Q$11,"=3")=1,TRUE))</formula>
    </cfRule>
    <cfRule type="expression" dxfId="1027" priority="501">
      <formula>AND(Q7=2,IF(COUNTIF(Q$7:Q$11,"=2")=1,TRUE))</formula>
    </cfRule>
    <cfRule type="expression" dxfId="1026" priority="502">
      <formula>AND(Q7=1,IF(COUNTIF(Q$7:Q$11,"=1")=1,TRUE))</formula>
    </cfRule>
    <cfRule type="expression" dxfId="1025" priority="503">
      <formula>OR(Q7=0,Q7=5)</formula>
    </cfRule>
  </conditionalFormatting>
  <conditionalFormatting sqref="O7:O11">
    <cfRule type="expression" dxfId="1024" priority="495">
      <formula>OR(AND(J7=1,K7=1,L7=0,M7=1),AND(J7=2,K7=2,L7=0,M7=2))</formula>
    </cfRule>
  </conditionalFormatting>
  <conditionalFormatting sqref="M7:M11">
    <cfRule type="expression" dxfId="1023" priority="488">
      <formula>AND(L7&gt;0,IF(COUNTIF(L$7:L$11,L7)&gt;1,TRUE,FALSE))</formula>
    </cfRule>
    <cfRule type="expression" dxfId="1022" priority="489">
      <formula>AND(IF(COUNTIF(R$7:R$11,"=1")=2,TRUE),IF(COUNTIF(R$7:R$11,"=2")=2,TRUE))</formula>
    </cfRule>
    <cfRule type="expression" dxfId="1021" priority="490">
      <formula>AND(R7=4,IF(COUNTIF(R$7:R$11,"=4")=1,TRUE))</formula>
    </cfRule>
    <cfRule type="expression" dxfId="1020" priority="491">
      <formula>AND(R7=3,IF(COUNTIF(R$7:R$11,"=3")=1,TRUE))</formula>
    </cfRule>
    <cfRule type="expression" dxfId="1019" priority="492">
      <formula>AND(R7=2,IF(COUNTIF(R$7:R$11,"=2")=1,TRUE))</formula>
    </cfRule>
    <cfRule type="expression" dxfId="1018" priority="493">
      <formula>AND(R7=1,IF(COUNTIF(R$7:R$11,"=1")=1,TRUE))</formula>
    </cfRule>
    <cfRule type="expression" dxfId="1017" priority="494">
      <formula>OR(R7=0,R7=5)</formula>
    </cfRule>
  </conditionalFormatting>
  <conditionalFormatting sqref="J7:J11">
    <cfRule type="expression" dxfId="1016" priority="483">
      <formula>AND(Q7=4,IF(COUNTIF(Q$7:Q$11,"=4")&gt;=2,TRUE))</formula>
    </cfRule>
    <cfRule type="expression" dxfId="1015" priority="484">
      <formula>AND(Q7=3,IF(COUNTIF(Q$7:Q$11,"=3")&gt;=2,TRUE))</formula>
    </cfRule>
    <cfRule type="expression" dxfId="1014" priority="485">
      <formula>AND(Q7=2,IF(COUNTIF(Q$7:Q$11,"=2")&gt;=2,TRUE))</formula>
    </cfRule>
    <cfRule type="expression" dxfId="1013" priority="486">
      <formula>AND(Q7=1,IF(COUNTIF(Q$7:Q$11,"=1")&gt;=2,TRUE))</formula>
    </cfRule>
  </conditionalFormatting>
  <conditionalFormatting sqref="H7:H11">
    <cfRule type="expression" dxfId="1012" priority="450">
      <formula>AND(Q7=4,IF(COUNTIF(Q$7:Q$11,"=4")&gt;=2,TRUE))</formula>
    </cfRule>
    <cfRule type="expression" dxfId="1011" priority="602">
      <formula>AND(Q7=3,IF(COUNTIF(Q$7:Q$11,"=3")&gt;=2,TRUE))</formula>
    </cfRule>
    <cfRule type="expression" dxfId="1010" priority="603">
      <formula>AND(Q7=2,IF(COUNTIF(Q$7:Q$11,"=2")&gt;=2,TRUE))</formula>
    </cfRule>
    <cfRule type="expression" dxfId="1009" priority="604">
      <formula>AND(Q7=1,IF(COUNTIF(Q$7:Q$11,"=1")&gt;=2,TRUE))</formula>
    </cfRule>
  </conditionalFormatting>
  <conditionalFormatting sqref="K7:K11">
    <cfRule type="expression" dxfId="1008" priority="605">
      <formula>AND(J7&gt;0,IF(COUNTIF(J$7:J$11,"=1")=2,TRUE),IF(COUNTIF(J$7:J$11,"=2")=2,TRUE))</formula>
    </cfRule>
    <cfRule type="expression" dxfId="1007" priority="606">
      <formula>IF(COUNTIF(L$7:L$11,"=2")=2,TRUE)</formula>
    </cfRule>
    <cfRule type="expression" dxfId="1006" priority="607">
      <formula>IF(COUNTIF(L$7:L$11,"=1")=2,TRUE)</formula>
    </cfRule>
    <cfRule type="expression" dxfId="1005" priority="608">
      <formula>AND(IF(COUNTIF(R$7:R$11,"=1")=2,TRUE),IF(COUNTIF(S$7:S$11,"=2")=2,TRUE))</formula>
    </cfRule>
    <cfRule type="expression" dxfId="1004" priority="609">
      <formula>AND(R7=4,IF(COUNTIF(R$7:R$11,"=4")=1,TRUE))</formula>
    </cfRule>
    <cfRule type="expression" dxfId="1003" priority="610">
      <formula>AND(R7=3,IF(COUNTIF(R$7:R$11,"=3")=1,TRUE))</formula>
    </cfRule>
    <cfRule type="expression" dxfId="1002" priority="611">
      <formula>AND(R7=2,IF(COUNTIF(R$7:R$11,"=2")=1,TRUE))</formula>
    </cfRule>
    <cfRule type="expression" dxfId="1001" priority="612">
      <formula>AND(R7=1,IF(COUNTIF(R$7:R$11,"=1")=1,TRUE))</formula>
    </cfRule>
    <cfRule type="expression" dxfId="1000" priority="613">
      <formula>OR(R7=0,R7=5)</formula>
    </cfRule>
  </conditionalFormatting>
  <conditionalFormatting sqref="L14:L18">
    <cfRule type="expression" dxfId="999" priority="455">
      <formula>K14=0</formula>
    </cfRule>
    <cfRule type="expression" dxfId="998" priority="464">
      <formula>IF(COUNTIF(J$14:J$18,"=2")=2,TRUE)</formula>
    </cfRule>
    <cfRule type="expression" dxfId="997" priority="465">
      <formula>IF(COUNTIF(J$14:J$18,"=1")=2,TRUE)</formula>
    </cfRule>
    <cfRule type="expression" dxfId="996" priority="466">
      <formula>AND(IF(COUNTIF(Q$14:Q$18,"=1")=2,TRUE),IF(COUNTIF(Q$14:Q$18,"=2")=2,TRUE))</formula>
    </cfRule>
    <cfRule type="expression" dxfId="995" priority="467">
      <formula>AND(Q14=4,IF(COUNTIF(Q$14:Q$18,"=4")=1,TRUE))</formula>
    </cfRule>
    <cfRule type="expression" dxfId="994" priority="468">
      <formula>AND(Q14=3,IF(COUNTIF(Q$14:Q$18,"=3")=1,TRUE))</formula>
    </cfRule>
    <cfRule type="expression" dxfId="993" priority="469">
      <formula>AND(Q14=2,IF(COUNTIF(Q$14:Q$18,"=2")=1,TRUE))</formula>
    </cfRule>
    <cfRule type="expression" dxfId="992" priority="470">
      <formula>AND(Q14=1,IF(COUNTIF(Q$14:Q$18,"=1")=1,TRUE))</formula>
    </cfRule>
    <cfRule type="expression" dxfId="991" priority="471">
      <formula>OR(Q14=0,Q14=5)</formula>
    </cfRule>
  </conditionalFormatting>
  <conditionalFormatting sqref="O14:O18">
    <cfRule type="expression" dxfId="990" priority="463">
      <formula>OR(AND(J14=1,K14=1,L14=0,M14=1),AND(J14=2,K14=2,L14=0,M14=2))</formula>
    </cfRule>
  </conditionalFormatting>
  <conditionalFormatting sqref="M14:M18">
    <cfRule type="expression" dxfId="989" priority="456">
      <formula>AND(L14&gt;0,IF(COUNTIF(L$14:L$18,L14)&gt;1,TRUE,FALSE))</formula>
    </cfRule>
    <cfRule type="expression" dxfId="988" priority="457">
      <formula>AND(IF(COUNTIF(R$14:R$18,"=1")=2,TRUE),IF(COUNTIF(R$14:R$18,"=2")=2,TRUE))</formula>
    </cfRule>
    <cfRule type="expression" dxfId="987" priority="458">
      <formula>AND(R14=4,IF(COUNTIF(R$14:R$18,"=4")=1,TRUE))</formula>
    </cfRule>
    <cfRule type="expression" dxfId="986" priority="459">
      <formula>AND(R14=3,IF(COUNTIF(R$14:R$18,"=3")=1,TRUE))</formula>
    </cfRule>
    <cfRule type="expression" dxfId="985" priority="460">
      <formula>AND(R14=2,IF(COUNTIF(R$14:R$18,"=2")=1,TRUE))</formula>
    </cfRule>
    <cfRule type="expression" dxfId="984" priority="461">
      <formula>AND(R14=1,IF(COUNTIF(R$14:R$18,"=1")=1,TRUE))</formula>
    </cfRule>
    <cfRule type="expression" dxfId="983" priority="462">
      <formula>OR(R14=0,R14=5)</formula>
    </cfRule>
  </conditionalFormatting>
  <conditionalFormatting sqref="J14:J18">
    <cfRule type="expression" dxfId="982" priority="451">
      <formula>AND(Q14=4,IF(COUNTIF(Q$14:Q$18,"=4")&gt;=2,TRUE))</formula>
    </cfRule>
    <cfRule type="expression" dxfId="981" priority="452">
      <formula>AND(Q14=3,IF(COUNTIF(Q$14:Q$18,"=3")&gt;=2,TRUE))</formula>
    </cfRule>
    <cfRule type="expression" dxfId="980" priority="453">
      <formula>AND(Q14=2,IF(COUNTIF(Q$14:Q$18,"=2")&gt;=2,TRUE))</formula>
    </cfRule>
    <cfRule type="expression" dxfId="979" priority="454">
      <formula>AND(Q14=1,IF(COUNTIF(Q$14:Q$18,"=1")&gt;=2,TRUE))</formula>
    </cfRule>
  </conditionalFormatting>
  <conditionalFormatting sqref="K14:K18">
    <cfRule type="expression" dxfId="978" priority="474">
      <formula>AND(J14&gt;0,IF(COUNTIF(J$14:J$18,"=1")=2,TRUE),IF(COUNTIF(J$14:J$18,"=2")=2,TRUE))</formula>
    </cfRule>
    <cfRule type="expression" dxfId="977" priority="475">
      <formula>IF(COUNTIF(L$14:L$18,"=2")=2,TRUE)</formula>
    </cfRule>
    <cfRule type="expression" dxfId="976" priority="476">
      <formula>IF(COUNTIF(L$14:L$18,"=1")=2,TRUE)</formula>
    </cfRule>
    <cfRule type="expression" dxfId="975" priority="477">
      <formula>AND(IF(COUNTIF(R$14:R$18,"=1")=2,TRUE),IF(COUNTIF(S$14:S$18,"=2")=2,TRUE))</formula>
    </cfRule>
    <cfRule type="expression" dxfId="974" priority="478">
      <formula>AND(R14=4,IF(COUNTIF(R$14:R$18,"=4")=1,TRUE))</formula>
    </cfRule>
    <cfRule type="expression" dxfId="973" priority="479">
      <formula>AND(R14=3,IF(COUNTIF(R$14:R$18,"=3")=1,TRUE))</formula>
    </cfRule>
    <cfRule type="expression" dxfId="972" priority="480">
      <formula>AND(R14=2,IF(COUNTIF(R$14:R$18,"=2")=1,TRUE))</formula>
    </cfRule>
    <cfRule type="expression" dxfId="971" priority="481">
      <formula>AND(R14=1,IF(COUNTIF(R$14:R$18,"=1")=1,TRUE))</formula>
    </cfRule>
    <cfRule type="expression" dxfId="970" priority="482">
      <formula>OR(R14=0,R14=5)</formula>
    </cfRule>
  </conditionalFormatting>
  <conditionalFormatting sqref="L21:L25">
    <cfRule type="expression" dxfId="969" priority="423">
      <formula>K21=0</formula>
    </cfRule>
    <cfRule type="expression" dxfId="968" priority="432">
      <formula>IF(COUNTIF(J$21:J$25,"=2")=2,TRUE)</formula>
    </cfRule>
    <cfRule type="expression" dxfId="967" priority="433">
      <formula>IF(COUNTIF(J$21:J$25,"=1")=2,TRUE)</formula>
    </cfRule>
    <cfRule type="expression" dxfId="966" priority="434">
      <formula>AND(IF(COUNTIF(Q$21:Q$25,"=1")=2,TRUE),IF(COUNTIF(Q$21:Q$25,"=2")=2,TRUE))</formula>
    </cfRule>
    <cfRule type="expression" dxfId="965" priority="435">
      <formula>AND(Q21=4,IF(COUNTIF(Q$21:Q$25,"=4")=1,TRUE))</formula>
    </cfRule>
    <cfRule type="expression" dxfId="964" priority="436">
      <formula>AND(Q21=3,IF(COUNTIF(Q$21:Q$25,"=3")=1,TRUE))</formula>
    </cfRule>
    <cfRule type="expression" dxfId="963" priority="437">
      <formula>AND(Q21=2,IF(COUNTIF(Q$21:Q$25,"=2")=1,TRUE))</formula>
    </cfRule>
    <cfRule type="expression" dxfId="962" priority="438">
      <formula>AND(Q21=1,IF(COUNTIF(Q$21:Q$25,"=1")=1,TRUE))</formula>
    </cfRule>
    <cfRule type="expression" dxfId="961" priority="439">
      <formula>OR(Q21=0,Q21=5)</formula>
    </cfRule>
  </conditionalFormatting>
  <conditionalFormatting sqref="O21:O25">
    <cfRule type="expression" dxfId="960" priority="431">
      <formula>OR(AND(J21=1,K21=1,L21=0,M21=1),AND(J21=2,K21=2,L21=0,M21=2))</formula>
    </cfRule>
  </conditionalFormatting>
  <conditionalFormatting sqref="M21:M25">
    <cfRule type="expression" dxfId="959" priority="424">
      <formula>AND(L21&gt;0,IF(COUNTIF(L$21:L$25,L21)&gt;1,TRUE,FALSE))</formula>
    </cfRule>
    <cfRule type="expression" dxfId="958" priority="425">
      <formula>AND(IF(COUNTIF(R$21:R$25,"=1")=2,TRUE),IF(COUNTIF(R$21:R$25,"=2")=2,TRUE))</formula>
    </cfRule>
    <cfRule type="expression" dxfId="957" priority="426">
      <formula>AND(R21=4,IF(COUNTIF(R$21:R$25,"=4")=1,TRUE))</formula>
    </cfRule>
    <cfRule type="expression" dxfId="956" priority="427">
      <formula>AND(R21=3,IF(COUNTIF(R$21:R$25,"=3")=1,TRUE))</formula>
    </cfRule>
    <cfRule type="expression" dxfId="955" priority="428">
      <formula>AND(R21=2,IF(COUNTIF(R$21:R$25,"=2")=1,TRUE))</formula>
    </cfRule>
    <cfRule type="expression" dxfId="954" priority="429">
      <formula>AND(R21=1,IF(COUNTIF(R$21:R$25,"=1")=1,TRUE))</formula>
    </cfRule>
    <cfRule type="expression" dxfId="953" priority="430">
      <formula>OR(R21=0,R21=5)</formula>
    </cfRule>
  </conditionalFormatting>
  <conditionalFormatting sqref="J21:J25">
    <cfRule type="expression" dxfId="952" priority="419">
      <formula>AND(Q21=4,IF(COUNTIF(Q$21:Q$25,"=4")&gt;=2,TRUE))</formula>
    </cfRule>
    <cfRule type="expression" dxfId="951" priority="420">
      <formula>AND(Q21=3,IF(COUNTIF(Q$21:Q$25,"=3")&gt;=2,TRUE))</formula>
    </cfRule>
    <cfRule type="expression" dxfId="950" priority="421">
      <formula>AND(Q21=2,IF(COUNTIF(Q$21:Q$25,"=2")&gt;=2,TRUE))</formula>
    </cfRule>
    <cfRule type="expression" dxfId="949" priority="422">
      <formula>AND(Q21=1,IF(COUNTIF(Q$21:Q$25,"=1")&gt;=2,TRUE))</formula>
    </cfRule>
  </conditionalFormatting>
  <conditionalFormatting sqref="K21:K25">
    <cfRule type="expression" dxfId="948" priority="440">
      <formula>AND(J21&gt;0,IF(COUNTIF(J$21:J$25,"=1")=2,TRUE),IF(COUNTIF(J$21:J$25,"=2")=2,TRUE))</formula>
    </cfRule>
    <cfRule type="expression" dxfId="947" priority="441">
      <formula>IF(COUNTIF(L$21:L$25,"=2")=2,TRUE)</formula>
    </cfRule>
    <cfRule type="expression" dxfId="946" priority="442">
      <formula>IF(COUNTIF(L$21:L$25,"=1")=2,TRUE)</formula>
    </cfRule>
    <cfRule type="expression" dxfId="945" priority="443">
      <formula>AND(IF(COUNTIF(R$21:R$25,"=1")=2,TRUE),IF(COUNTIF(S$21:S$25,"=2")=2,TRUE))</formula>
    </cfRule>
    <cfRule type="expression" dxfId="944" priority="444">
      <formula>AND(R21=4,IF(COUNTIF(R$21:R$25,"=4")=1,TRUE))</formula>
    </cfRule>
    <cfRule type="expression" dxfId="943" priority="445">
      <formula>AND(R21=3,IF(COUNTIF(R$21:R$25,"=3")=1,TRUE))</formula>
    </cfRule>
    <cfRule type="expression" dxfId="942" priority="446">
      <formula>AND(R21=2,IF(COUNTIF(R$21:R$25,"=2")=1,TRUE))</formula>
    </cfRule>
    <cfRule type="expression" dxfId="941" priority="447">
      <formula>AND(R21=1,IF(COUNTIF(R$21:R$25,"=1")=1,TRUE))</formula>
    </cfRule>
    <cfRule type="expression" dxfId="940" priority="448">
      <formula>OR(R21=0,R21=5)</formula>
    </cfRule>
  </conditionalFormatting>
  <conditionalFormatting sqref="H21:H25">
    <cfRule type="expression" dxfId="939" priority="415">
      <formula>AND(Q21=4,IF(COUNTIF(Q$21:Q$25,"=4")&gt;=2,TRUE))</formula>
    </cfRule>
    <cfRule type="expression" dxfId="938" priority="416">
      <formula>AND(Q21=3,IF(COUNTIF(Q$21:Q$25,"=3")&gt;=2,TRUE))</formula>
    </cfRule>
    <cfRule type="expression" dxfId="937" priority="417">
      <formula>AND(Q21=2,IF(COUNTIF(Q$21:Q$25,"=2")&gt;=2,TRUE))</formula>
    </cfRule>
    <cfRule type="expression" dxfId="936" priority="418">
      <formula>AND(Q21=1,IF(COUNTIF(Q$21:Q$25,"=1")&gt;=2,TRUE))</formula>
    </cfRule>
  </conditionalFormatting>
  <conditionalFormatting sqref="L28:L32">
    <cfRule type="expression" dxfId="935" priority="389">
      <formula>K28=0</formula>
    </cfRule>
    <cfRule type="expression" dxfId="934" priority="398">
      <formula>IF(COUNTIF(J$28:J$32,"=2")=2,TRUE)</formula>
    </cfRule>
    <cfRule type="expression" dxfId="933" priority="399">
      <formula>IF(COUNTIF(J$28:J$32,"=1")=2,TRUE)</formula>
    </cfRule>
    <cfRule type="expression" dxfId="932" priority="400">
      <formula>AND(IF(COUNTIF(Q$28:Q$32,"=1")=2,TRUE),IF(COUNTIF(Q$28:Q$32,"=2")=2,TRUE))</formula>
    </cfRule>
    <cfRule type="expression" dxfId="931" priority="401">
      <formula>AND(Q28=4,IF(COUNTIF(Q$28:Q$32,"=4")=1,TRUE))</formula>
    </cfRule>
    <cfRule type="expression" dxfId="930" priority="402">
      <formula>AND(Q28=3,IF(COUNTIF(Q$28:Q$32,"=3")=1,TRUE))</formula>
    </cfRule>
    <cfRule type="expression" dxfId="929" priority="403">
      <formula>AND(Q28=2,IF(COUNTIF(Q$28:Q$32,"=2")=1,TRUE))</formula>
    </cfRule>
    <cfRule type="expression" dxfId="928" priority="404">
      <formula>AND(Q28=1,IF(COUNTIF(Q$28:Q$32,"=1")=1,TRUE))</formula>
    </cfRule>
    <cfRule type="expression" dxfId="927" priority="405">
      <formula>OR(Q28=0,Q28=5)</formula>
    </cfRule>
  </conditionalFormatting>
  <conditionalFormatting sqref="O28:O32">
    <cfRule type="expression" dxfId="926" priority="397">
      <formula>OR(AND(J28=1,K28=1,L28=0,M28=1),AND(J28=2,K28=2,L28=0,M28=2))</formula>
    </cfRule>
  </conditionalFormatting>
  <conditionalFormatting sqref="M28:M32">
    <cfRule type="expression" dxfId="925" priority="390">
      <formula>AND(L28&gt;0,IF(COUNTIF(L$28:L$32,L28)&gt;1,TRUE,FALSE))</formula>
    </cfRule>
    <cfRule type="expression" dxfId="924" priority="391">
      <formula>AND(IF(COUNTIF(R$28:R$32,"=1")=2,TRUE),IF(COUNTIF(R$28:R$32,"=2")=2,TRUE))</formula>
    </cfRule>
    <cfRule type="expression" dxfId="923" priority="392">
      <formula>AND(R28=4,IF(COUNTIF(R$28:R$32,"=4")=1,TRUE))</formula>
    </cfRule>
    <cfRule type="expression" dxfId="922" priority="393">
      <formula>AND(R28=3,IF(COUNTIF(R$28:R$32,"=3")=1,TRUE))</formula>
    </cfRule>
    <cfRule type="expression" dxfId="921" priority="394">
      <formula>AND(R28=2,IF(COUNTIF(R$28:R$32,"=2")=1,TRUE))</formula>
    </cfRule>
    <cfRule type="expression" dxfId="920" priority="395">
      <formula>AND(R28=1,IF(COUNTIF(R$28:R$32,"=1")=1,TRUE))</formula>
    </cfRule>
    <cfRule type="expression" dxfId="919" priority="396">
      <formula>OR(R28=0,R28=5)</formula>
    </cfRule>
  </conditionalFormatting>
  <conditionalFormatting sqref="J28:J32">
    <cfRule type="expression" dxfId="918" priority="385">
      <formula>AND(Q28=4,IF(COUNTIF(Q$28:Q$32,"=4")&gt;=2,TRUE))</formula>
    </cfRule>
    <cfRule type="expression" dxfId="917" priority="386">
      <formula>AND(Q28=3,IF(COUNTIF(Q$28:Q$32,"=3")&gt;=2,TRUE))</formula>
    </cfRule>
    <cfRule type="expression" dxfId="916" priority="387">
      <formula>AND(Q28=2,IF(COUNTIF(Q$28:Q$32,"=2")&gt;=2,TRUE))</formula>
    </cfRule>
    <cfRule type="expression" dxfId="915" priority="388">
      <formula>AND(Q28=1,IF(COUNTIF(Q$28:Q$32,"=1")&gt;=2,TRUE))</formula>
    </cfRule>
  </conditionalFormatting>
  <conditionalFormatting sqref="K28:K32">
    <cfRule type="expression" dxfId="914" priority="406">
      <formula>AND(J28&gt;0,IF(COUNTIF(J$28:J$32,"=1")=2,TRUE),IF(COUNTIF(J$28:J$32,"=2")=2,TRUE))</formula>
    </cfRule>
    <cfRule type="expression" dxfId="913" priority="407">
      <formula>IF(COUNTIF(L$28:L$32,"=2")=2,TRUE)</formula>
    </cfRule>
    <cfRule type="expression" dxfId="912" priority="408">
      <formula>IF(COUNTIF(L$28:L$32,"=1")=2,TRUE)</formula>
    </cfRule>
    <cfRule type="expression" dxfId="911" priority="409">
      <formula>AND(IF(COUNTIF(R$28:R$32,"=1")=2,TRUE),IF(COUNTIF(S$28:S$32,"=2")=2,TRUE))</formula>
    </cfRule>
    <cfRule type="expression" dxfId="910" priority="410">
      <formula>AND(R28=4,IF(COUNTIF(R$28:R$32,"=4")=1,TRUE))</formula>
    </cfRule>
    <cfRule type="expression" dxfId="909" priority="411">
      <formula>AND(R28=3,IF(COUNTIF(R$28:R$32,"=3")=1,TRUE))</formula>
    </cfRule>
    <cfRule type="expression" dxfId="908" priority="412">
      <formula>AND(R28=2,IF(COUNTIF(R$28:R$32,"=2")=1,TRUE))</formula>
    </cfRule>
    <cfRule type="expression" dxfId="907" priority="413">
      <formula>AND(R28=1,IF(COUNTIF(R$28:R$32,"=1")=1,TRUE))</formula>
    </cfRule>
    <cfRule type="expression" dxfId="906" priority="414">
      <formula>OR(R28=0,R28=5)</formula>
    </cfRule>
  </conditionalFormatting>
  <conditionalFormatting sqref="H28:H32">
    <cfRule type="expression" dxfId="905" priority="381">
      <formula>AND(Q28=4,IF(COUNTIF(Q$28:Q$32,"=4")&gt;=2,TRUE))</formula>
    </cfRule>
    <cfRule type="expression" dxfId="904" priority="382">
      <formula>AND(Q28=3,IF(COUNTIF(Q$28:Q$32,"=3")&gt;=2,TRUE))</formula>
    </cfRule>
    <cfRule type="expression" dxfId="903" priority="383">
      <formula>AND(Q28=2,IF(COUNTIF(Q$28:Q$32,"=2")&gt;=2,TRUE))</formula>
    </cfRule>
    <cfRule type="expression" dxfId="902" priority="384">
      <formula>AND(Q28=1,IF(COUNTIF(Q$28:Q$32,"=1")&gt;=2,TRUE))</formula>
    </cfRule>
  </conditionalFormatting>
  <conditionalFormatting sqref="L35:L39">
    <cfRule type="expression" dxfId="901" priority="355">
      <formula>K35=0</formula>
    </cfRule>
    <cfRule type="expression" dxfId="900" priority="364">
      <formula>IF(COUNTIF(J$35:J$39,"=2")=2,TRUE)</formula>
    </cfRule>
    <cfRule type="expression" dxfId="899" priority="365">
      <formula>IF(COUNTIF(J$35:J$39,"=1")=2,TRUE)</formula>
    </cfRule>
    <cfRule type="expression" dxfId="898" priority="366">
      <formula>AND(IF(COUNTIF(Q$35:Q$39,"=1")=2,TRUE),IF(COUNTIF(Q$35:Q$39,"=2")=2,TRUE))</formula>
    </cfRule>
    <cfRule type="expression" dxfId="897" priority="367">
      <formula>AND(Q35=4,IF(COUNTIF(Q$35:Q$39,"=4")=1,TRUE))</formula>
    </cfRule>
    <cfRule type="expression" dxfId="896" priority="368">
      <formula>AND(Q35=3,IF(COUNTIF(Q$35:Q$39,"=3")=1,TRUE))</formula>
    </cfRule>
    <cfRule type="expression" dxfId="895" priority="369">
      <formula>AND(Q35=2,IF(COUNTIF(Q$35:Q$39,"=2")=1,TRUE))</formula>
    </cfRule>
    <cfRule type="expression" dxfId="894" priority="370">
      <formula>AND(Q35=1,IF(COUNTIF(Q$35:Q$39,"=1")=1,TRUE))</formula>
    </cfRule>
    <cfRule type="expression" dxfId="893" priority="371">
      <formula>OR(Q35=0,Q35=5)</formula>
    </cfRule>
  </conditionalFormatting>
  <conditionalFormatting sqref="O35:O39">
    <cfRule type="expression" dxfId="892" priority="363">
      <formula>OR(AND(J35=1,K35=1,L35=0,M35=1),AND(J35=2,K35=2,L35=0,M35=2))</formula>
    </cfRule>
  </conditionalFormatting>
  <conditionalFormatting sqref="M35:M39">
    <cfRule type="expression" dxfId="891" priority="356">
      <formula>AND(L35&gt;0,IF(COUNTIF(L$35:L$39,L35)&gt;1,TRUE,FALSE))</formula>
    </cfRule>
    <cfRule type="expression" dxfId="890" priority="357">
      <formula>AND(IF(COUNTIF(R$35:R$39,"=1")=2,TRUE),IF(COUNTIF(R$35:R$39,"=2")=2,TRUE))</formula>
    </cfRule>
    <cfRule type="expression" dxfId="889" priority="358">
      <formula>AND(R35=4,IF(COUNTIF(R$35:R$39,"=4")=1,TRUE))</formula>
    </cfRule>
    <cfRule type="expression" dxfId="888" priority="359">
      <formula>AND(R35=3,IF(COUNTIF(R$35:R$39,"=3")=1,TRUE))</formula>
    </cfRule>
    <cfRule type="expression" dxfId="887" priority="360">
      <formula>AND(R35=2,IF(COUNTIF(R$35:R$39,"=2")=1,TRUE))</formula>
    </cfRule>
    <cfRule type="expression" dxfId="886" priority="361">
      <formula>AND(R35=1,IF(COUNTIF(R$35:R$39,"=1")=1,TRUE))</formula>
    </cfRule>
    <cfRule type="expression" dxfId="885" priority="362">
      <formula>OR(R35=0,R35=5)</formula>
    </cfRule>
  </conditionalFormatting>
  <conditionalFormatting sqref="J35:J39">
    <cfRule type="expression" dxfId="884" priority="351">
      <formula>AND(Q35=4,IF(COUNTIF(Q$35:Q$39,"=4")&gt;=2,TRUE))</formula>
    </cfRule>
    <cfRule type="expression" dxfId="883" priority="352">
      <formula>AND(Q35=3,IF(COUNTIF(Q$35:Q$39,"=3")&gt;=2,TRUE))</formula>
    </cfRule>
    <cfRule type="expression" dxfId="882" priority="353">
      <formula>AND(Q35=2,IF(COUNTIF(Q$35:Q$39,"=2")&gt;=2,TRUE))</formula>
    </cfRule>
    <cfRule type="expression" dxfId="881" priority="354">
      <formula>AND(Q35=1,IF(COUNTIF(Q$35:Q$39,"=1")&gt;=2,TRUE))</formula>
    </cfRule>
  </conditionalFormatting>
  <conditionalFormatting sqref="K35:K39">
    <cfRule type="expression" dxfId="880" priority="372">
      <formula>AND(J35&gt;0,IF(COUNTIF(J$35:J$39,"=1")=2,TRUE),IF(COUNTIF(J$35:J$39,"=2")=2,TRUE))</formula>
    </cfRule>
    <cfRule type="expression" dxfId="879" priority="373">
      <formula>IF(COUNTIF(L$35:L$39,"=2")=2,TRUE)</formula>
    </cfRule>
    <cfRule type="expression" dxfId="878" priority="374">
      <formula>IF(COUNTIF(L$35:L$39,"=1")=2,TRUE)</formula>
    </cfRule>
    <cfRule type="expression" dxfId="877" priority="375">
      <formula>AND(IF(COUNTIF(R$35:R$39,"=1")=2,TRUE),IF(COUNTIF(S$35:S$39,"=2")=2,TRUE))</formula>
    </cfRule>
    <cfRule type="expression" dxfId="876" priority="376">
      <formula>AND(R35=4,IF(COUNTIF(R$35:R$39,"=4")=1,TRUE))</formula>
    </cfRule>
    <cfRule type="expression" dxfId="875" priority="377">
      <formula>AND(R35=3,IF(COUNTIF(R$35:R$39,"=3")=1,TRUE))</formula>
    </cfRule>
    <cfRule type="expression" dxfId="874" priority="378">
      <formula>AND(R35=2,IF(COUNTIF(R$35:R$39,"=2")=1,TRUE))</formula>
    </cfRule>
    <cfRule type="expression" dxfId="873" priority="379">
      <formula>AND(R35=1,IF(COUNTIF(R$35:R$39,"=1")=1,TRUE))</formula>
    </cfRule>
    <cfRule type="expression" dxfId="872" priority="380">
      <formula>OR(R35=0,R35=5)</formula>
    </cfRule>
  </conditionalFormatting>
  <conditionalFormatting sqref="H35:H39">
    <cfRule type="expression" dxfId="871" priority="347">
      <formula>AND(Q35=4,IF(COUNTIF(Q$35:Q$39,"=4")&gt;=2,TRUE))</formula>
    </cfRule>
    <cfRule type="expression" dxfId="870" priority="348">
      <formula>AND(Q35=3,IF(COUNTIF(Q$35:Q$39,"=3")&gt;=2,TRUE))</formula>
    </cfRule>
    <cfRule type="expression" dxfId="869" priority="349">
      <formula>AND(Q35=2,IF(COUNTIF(Q$35:Q$39,"=2")&gt;=2,TRUE))</formula>
    </cfRule>
    <cfRule type="expression" dxfId="868" priority="350">
      <formula>AND(Q35=1,IF(COUNTIF(Q$35:Q$39,"=1")&gt;=2,TRUE))</formula>
    </cfRule>
  </conditionalFormatting>
  <conditionalFormatting sqref="L42:L46">
    <cfRule type="expression" dxfId="867" priority="321">
      <formula>K42=0</formula>
    </cfRule>
    <cfRule type="expression" dxfId="866" priority="330">
      <formula>IF(COUNTIF(J$42:J$46,"=2")=2,TRUE)</formula>
    </cfRule>
    <cfRule type="expression" dxfId="865" priority="331">
      <formula>IF(COUNTIF(J$42:J$46,"=1")=2,TRUE)</formula>
    </cfRule>
    <cfRule type="expression" dxfId="864" priority="332">
      <formula>AND(IF(COUNTIF(Q$42:Q$46,"=1")=2,TRUE),IF(COUNTIF(Q$42:Q$46,"=2")=2,TRUE))</formula>
    </cfRule>
    <cfRule type="expression" dxfId="863" priority="333">
      <formula>AND(Q42=4,IF(COUNTIF(Q$42:Q$46,"=4")=1,TRUE))</formula>
    </cfRule>
    <cfRule type="expression" dxfId="862" priority="334">
      <formula>AND(Q42=3,IF(COUNTIF(Q$42:Q$46,"=3")=1,TRUE))</formula>
    </cfRule>
    <cfRule type="expression" dxfId="861" priority="335">
      <formula>AND(Q42=2,IF(COUNTIF(Q$42:Q$46,"=2")=1,TRUE))</formula>
    </cfRule>
    <cfRule type="expression" dxfId="860" priority="336">
      <formula>AND(Q42=1,IF(COUNTIF(Q$42:Q$46,"=1")=1,TRUE))</formula>
    </cfRule>
    <cfRule type="expression" dxfId="859" priority="337">
      <formula>OR(Q42=0,Q42=5)</formula>
    </cfRule>
  </conditionalFormatting>
  <conditionalFormatting sqref="O42:O46">
    <cfRule type="expression" dxfId="858" priority="329">
      <formula>OR(AND(J42=1,K42=1,L42=0,M42=1),AND(J42=2,K42=2,L42=0,M42=2))</formula>
    </cfRule>
  </conditionalFormatting>
  <conditionalFormatting sqref="M42:M46">
    <cfRule type="expression" dxfId="857" priority="322">
      <formula>AND(L42&gt;0,IF(COUNTIF(L$42:L$46,L42)&gt;1,TRUE,FALSE))</formula>
    </cfRule>
    <cfRule type="expression" dxfId="856" priority="323">
      <formula>AND(IF(COUNTIF(R$42:R$46,"=1")=2,TRUE),IF(COUNTIF(R$42:R$46,"=2")=2,TRUE))</formula>
    </cfRule>
    <cfRule type="expression" dxfId="855" priority="324">
      <formula>AND(R42=4,IF(COUNTIF(R$42:R$46,"=4")=1,TRUE))</formula>
    </cfRule>
    <cfRule type="expression" dxfId="854" priority="325">
      <formula>AND(R42=3,IF(COUNTIF(R$42:R$46,"=3")=1,TRUE))</formula>
    </cfRule>
    <cfRule type="expression" dxfId="853" priority="326">
      <formula>AND(R42=2,IF(COUNTIF(R$42:R$46,"=2")=1,TRUE))</formula>
    </cfRule>
    <cfRule type="expression" dxfId="852" priority="327">
      <formula>AND(R42=1,IF(COUNTIF(R$42:R$46,"=1")=1,TRUE))</formula>
    </cfRule>
    <cfRule type="expression" dxfId="851" priority="328">
      <formula>OR(R42=0,R42=5)</formula>
    </cfRule>
  </conditionalFormatting>
  <conditionalFormatting sqref="J42:J46">
    <cfRule type="expression" dxfId="850" priority="317">
      <formula>AND(Q42=4,IF(COUNTIF(Q$42:Q$46,"=4")&gt;=2,TRUE))</formula>
    </cfRule>
    <cfRule type="expression" dxfId="849" priority="318">
      <formula>AND(Q42=3,IF(COUNTIF(Q$42:Q$46,"=3")&gt;=2,TRUE))</formula>
    </cfRule>
    <cfRule type="expression" dxfId="848" priority="319">
      <formula>AND(Q42=2,IF(COUNTIF(Q$42:Q$46,"=2")&gt;=2,TRUE))</formula>
    </cfRule>
    <cfRule type="expression" dxfId="847" priority="320">
      <formula>AND(Q42=1,IF(COUNTIF(Q$42:Q$46,"=1")&gt;=2,TRUE))</formula>
    </cfRule>
  </conditionalFormatting>
  <conditionalFormatting sqref="K42:K46">
    <cfRule type="expression" dxfId="846" priority="338">
      <formula>AND(J42&gt;0,IF(COUNTIF(J$42:J$46,"=1")=2,TRUE),IF(COUNTIF(J$42:J$46,"=2")=2,TRUE))</formula>
    </cfRule>
    <cfRule type="expression" dxfId="845" priority="339">
      <formula>IF(COUNTIF(L$42:L$46,"=2")=2,TRUE)</formula>
    </cfRule>
    <cfRule type="expression" dxfId="844" priority="340">
      <formula>IF(COUNTIF(L$42:L$46,"=1")=2,TRUE)</formula>
    </cfRule>
    <cfRule type="expression" dxfId="843" priority="341">
      <formula>AND(IF(COUNTIF(R$42:R$46,"=1")=2,TRUE),IF(COUNTIF(S$42:S$46,"=2")=2,TRUE))</formula>
    </cfRule>
    <cfRule type="expression" dxfId="842" priority="342">
      <formula>AND(R42=4,IF(COUNTIF(R$42:R$46,"=4")=1,TRUE))</formula>
    </cfRule>
    <cfRule type="expression" dxfId="841" priority="343">
      <formula>AND(R42=3,IF(COUNTIF(R$42:R$46,"=3")=1,TRUE))</formula>
    </cfRule>
    <cfRule type="expression" dxfId="840" priority="344">
      <formula>AND(R42=2,IF(COUNTIF(R$42:R$46,"=2")=1,TRUE))</formula>
    </cfRule>
    <cfRule type="expression" dxfId="839" priority="345">
      <formula>AND(R42=1,IF(COUNTIF(R$42:R$46,"=1")=1,TRUE))</formula>
    </cfRule>
    <cfRule type="expression" dxfId="838" priority="346">
      <formula>OR(R42=0,R42=5)</formula>
    </cfRule>
  </conditionalFormatting>
  <conditionalFormatting sqref="H42:H46">
    <cfRule type="expression" dxfId="837" priority="313">
      <formula>AND(Q42=4,IF(COUNTIF(Q$42:Q$46,"=4")&gt;=2,TRUE))</formula>
    </cfRule>
    <cfRule type="expression" dxfId="836" priority="314">
      <formula>AND(Q42=3,IF(COUNTIF(Q$42:Q$46,"=3")&gt;=2,TRUE))</formula>
    </cfRule>
    <cfRule type="expression" dxfId="835" priority="315">
      <formula>AND(Q42=2,IF(COUNTIF(Q$42:Q$46,"=2")&gt;=2,TRUE))</formula>
    </cfRule>
    <cfRule type="expression" dxfId="834" priority="316">
      <formula>AND(Q42=1,IF(COUNTIF(Q$42:Q$46,"=1")&gt;=2,TRUE))</formula>
    </cfRule>
  </conditionalFormatting>
  <conditionalFormatting sqref="E196 E198">
    <cfRule type="containsBlanks" dxfId="833" priority="48">
      <formula>LEN(TRIM(E196))=0</formula>
    </cfRule>
  </conditionalFormatting>
  <conditionalFormatting sqref="G179 G181">
    <cfRule type="containsBlanks" dxfId="832" priority="80">
      <formula>LEN(TRIM(G179))=0</formula>
    </cfRule>
  </conditionalFormatting>
  <conditionalFormatting sqref="A102:A132">
    <cfRule type="cellIs" priority="24" stopIfTrue="1" operator="equal">
      <formula>"-"</formula>
    </cfRule>
    <cfRule type="duplicateValues" dxfId="831" priority="171"/>
  </conditionalFormatting>
  <conditionalFormatting sqref="C102 C104">
    <cfRule type="aboveAverage" dxfId="830" priority="170"/>
  </conditionalFormatting>
  <conditionalFormatting sqref="C102 C104">
    <cfRule type="containsBlanks" dxfId="829" priority="169">
      <formula>LEN(TRIM(C102))=0</formula>
    </cfRule>
  </conditionalFormatting>
  <conditionalFormatting sqref="C114 C116">
    <cfRule type="aboveAverage" dxfId="828" priority="168"/>
  </conditionalFormatting>
  <conditionalFormatting sqref="C114 C116">
    <cfRule type="containsBlanks" dxfId="827" priority="167">
      <formula>LEN(TRIM(C114))=0</formula>
    </cfRule>
  </conditionalFormatting>
  <conditionalFormatting sqref="C118 C120">
    <cfRule type="aboveAverage" dxfId="826" priority="166"/>
  </conditionalFormatting>
  <conditionalFormatting sqref="C118 C120">
    <cfRule type="containsBlanks" dxfId="825" priority="165">
      <formula>LEN(TRIM(C118))=0</formula>
    </cfRule>
  </conditionalFormatting>
  <conditionalFormatting sqref="C126 C128">
    <cfRule type="aboveAverage" dxfId="824" priority="164"/>
  </conditionalFormatting>
  <conditionalFormatting sqref="C126 C128">
    <cfRule type="containsBlanks" dxfId="823" priority="163">
      <formula>LEN(TRIM(C126))=0</formula>
    </cfRule>
  </conditionalFormatting>
  <conditionalFormatting sqref="C106 C108">
    <cfRule type="aboveAverage" dxfId="822" priority="162"/>
  </conditionalFormatting>
  <conditionalFormatting sqref="C106 C108">
    <cfRule type="containsBlanks" dxfId="821" priority="161">
      <formula>LEN(TRIM(C106))=0</formula>
    </cfRule>
  </conditionalFormatting>
  <conditionalFormatting sqref="C110 C112">
    <cfRule type="aboveAverage" dxfId="820" priority="160"/>
  </conditionalFormatting>
  <conditionalFormatting sqref="C110 C112">
    <cfRule type="containsBlanks" dxfId="819" priority="159">
      <formula>LEN(TRIM(C110))=0</formula>
    </cfRule>
  </conditionalFormatting>
  <conditionalFormatting sqref="C122 C124">
    <cfRule type="aboveAverage" dxfId="818" priority="158"/>
  </conditionalFormatting>
  <conditionalFormatting sqref="C122 C124">
    <cfRule type="containsBlanks" dxfId="817" priority="157">
      <formula>LEN(TRIM(C122))=0</formula>
    </cfRule>
  </conditionalFormatting>
  <conditionalFormatting sqref="C130 C132">
    <cfRule type="aboveAverage" dxfId="816" priority="156"/>
  </conditionalFormatting>
  <conditionalFormatting sqref="C130 C132">
    <cfRule type="containsBlanks" dxfId="815" priority="155">
      <formula>LEN(TRIM(C130))=0</formula>
    </cfRule>
  </conditionalFormatting>
  <conditionalFormatting sqref="E103 E107">
    <cfRule type="containsBlanks" dxfId="814" priority="153">
      <formula>LEN(TRIM(E103))=0</formula>
    </cfRule>
    <cfRule type="aboveAverage" dxfId="813" priority="154"/>
  </conditionalFormatting>
  <conditionalFormatting sqref="E111 E115">
    <cfRule type="containsBlanks" dxfId="812" priority="151">
      <formula>LEN(TRIM(E111))=0</formula>
    </cfRule>
    <cfRule type="aboveAverage" dxfId="811" priority="152"/>
  </conditionalFormatting>
  <conditionalFormatting sqref="E119 E123">
    <cfRule type="containsBlanks" dxfId="810" priority="149">
      <formula>LEN(TRIM(E119))=0</formula>
    </cfRule>
    <cfRule type="aboveAverage" dxfId="809" priority="150"/>
  </conditionalFormatting>
  <conditionalFormatting sqref="E127 E131">
    <cfRule type="containsBlanks" dxfId="808" priority="147">
      <formula>LEN(TRIM(E127))=0</formula>
    </cfRule>
    <cfRule type="aboveAverage" dxfId="807" priority="148"/>
  </conditionalFormatting>
  <conditionalFormatting sqref="I141 I145">
    <cfRule type="containsBlanks" dxfId="806" priority="145">
      <formula>LEN(TRIM(I141))=0</formula>
    </cfRule>
    <cfRule type="aboveAverage" dxfId="805" priority="146"/>
  </conditionalFormatting>
  <conditionalFormatting sqref="G140 G142">
    <cfRule type="aboveAverage" dxfId="804" priority="144"/>
  </conditionalFormatting>
  <conditionalFormatting sqref="G140 G142">
    <cfRule type="containsBlanks" dxfId="803" priority="143">
      <formula>LEN(TRIM(G140))=0</formula>
    </cfRule>
  </conditionalFormatting>
  <conditionalFormatting sqref="G144 G146">
    <cfRule type="aboveAverage" dxfId="802" priority="142"/>
  </conditionalFormatting>
  <conditionalFormatting sqref="G144 G146">
    <cfRule type="containsBlanks" dxfId="801" priority="141">
      <formula>LEN(TRIM(G144))=0</formula>
    </cfRule>
  </conditionalFormatting>
  <conditionalFormatting sqref="I131 I133">
    <cfRule type="aboveAverage" dxfId="800" priority="140"/>
  </conditionalFormatting>
  <conditionalFormatting sqref="I131 I133">
    <cfRule type="containsBlanks" dxfId="799" priority="139">
      <formula>LEN(TRIM(I131))=0</formula>
    </cfRule>
  </conditionalFormatting>
  <conditionalFormatting sqref="I148 I150">
    <cfRule type="aboveAverage" dxfId="798" priority="138"/>
  </conditionalFormatting>
  <conditionalFormatting sqref="I148 I150">
    <cfRule type="containsBlanks" dxfId="797" priority="137">
      <formula>LEN(TRIM(I148))=0</formula>
    </cfRule>
  </conditionalFormatting>
  <conditionalFormatting sqref="G105 G113">
    <cfRule type="containsBlanks" dxfId="796" priority="135">
      <formula>LEN(TRIM(G105))=0</formula>
    </cfRule>
    <cfRule type="aboveAverage" dxfId="795" priority="136"/>
  </conditionalFormatting>
  <conditionalFormatting sqref="G121 G129">
    <cfRule type="containsBlanks" dxfId="794" priority="133">
      <formula>LEN(TRIM(G121))=0</formula>
    </cfRule>
    <cfRule type="aboveAverage" dxfId="793" priority="134"/>
  </conditionalFormatting>
  <conditionalFormatting sqref="I109 I125">
    <cfRule type="containsBlanks" dxfId="792" priority="131">
      <formula>LEN(TRIM(I109))=0</formula>
    </cfRule>
    <cfRule type="aboveAverage" dxfId="791" priority="132"/>
  </conditionalFormatting>
  <conditionalFormatting sqref="E157 E159">
    <cfRule type="aboveAverage" dxfId="790" priority="130"/>
  </conditionalFormatting>
  <conditionalFormatting sqref="E157 E159">
    <cfRule type="containsBlanks" dxfId="789" priority="129">
      <formula>LEN(TRIM(E157))=0</formula>
    </cfRule>
  </conditionalFormatting>
  <conditionalFormatting sqref="G183 G185">
    <cfRule type="containsBlanks" dxfId="788" priority="78">
      <formula>LEN(TRIM(G183))=0</formula>
    </cfRule>
  </conditionalFormatting>
  <conditionalFormatting sqref="I187 I189">
    <cfRule type="containsBlanks" dxfId="787" priority="76">
      <formula>LEN(TRIM(I187))=0</formula>
    </cfRule>
  </conditionalFormatting>
  <conditionalFormatting sqref="G158 G162">
    <cfRule type="containsBlanks" dxfId="786" priority="110">
      <formula>LEN(TRIM(G158))=0</formula>
    </cfRule>
    <cfRule type="aboveAverage" dxfId="785" priority="111"/>
  </conditionalFormatting>
  <conditionalFormatting sqref="G166 G170">
    <cfRule type="containsBlanks" dxfId="784" priority="108">
      <formula>LEN(TRIM(G166))=0</formula>
    </cfRule>
    <cfRule type="aboveAverage" dxfId="783" priority="109"/>
  </conditionalFormatting>
  <conditionalFormatting sqref="E161 E163">
    <cfRule type="aboveAverage" dxfId="782" priority="99"/>
  </conditionalFormatting>
  <conditionalFormatting sqref="E161 E163">
    <cfRule type="containsBlanks" dxfId="781" priority="98">
      <formula>LEN(TRIM(E161))=0</formula>
    </cfRule>
  </conditionalFormatting>
  <conditionalFormatting sqref="E165 E167">
    <cfRule type="aboveAverage" dxfId="780" priority="97"/>
  </conditionalFormatting>
  <conditionalFormatting sqref="E165 E167">
    <cfRule type="containsBlanks" dxfId="779" priority="96">
      <formula>LEN(TRIM(E165))=0</formula>
    </cfRule>
  </conditionalFormatting>
  <conditionalFormatting sqref="E169 E171">
    <cfRule type="aboveAverage" dxfId="778" priority="95"/>
  </conditionalFormatting>
  <conditionalFormatting sqref="E169 E171">
    <cfRule type="containsBlanks" dxfId="777" priority="94">
      <formula>LEN(TRIM(E169))=0</formula>
    </cfRule>
  </conditionalFormatting>
  <conditionalFormatting sqref="I172 I174">
    <cfRule type="aboveAverage" dxfId="776" priority="93"/>
  </conditionalFormatting>
  <conditionalFormatting sqref="I172 I174">
    <cfRule type="containsBlanks" dxfId="775" priority="92">
      <formula>LEN(TRIM(I172))=0</formula>
    </cfRule>
  </conditionalFormatting>
  <conditionalFormatting sqref="E200 E202">
    <cfRule type="containsBlanks" dxfId="774" priority="42">
      <formula>LEN(TRIM(E200))=0</formula>
    </cfRule>
  </conditionalFormatting>
  <conditionalFormatting sqref="I160 I168">
    <cfRule type="containsBlanks" dxfId="773" priority="88">
      <formula>LEN(TRIM(I160))=0</formula>
    </cfRule>
    <cfRule type="aboveAverage" dxfId="772" priority="89"/>
  </conditionalFormatting>
  <conditionalFormatting sqref="I180 I184">
    <cfRule type="containsBlanks" dxfId="771" priority="82">
      <formula>LEN(TRIM(I180))=0</formula>
    </cfRule>
    <cfRule type="aboveAverage" dxfId="770" priority="83"/>
  </conditionalFormatting>
  <conditionalFormatting sqref="G179 G181">
    <cfRule type="aboveAverage" dxfId="769" priority="81"/>
  </conditionalFormatting>
  <conditionalFormatting sqref="G183 G185">
    <cfRule type="aboveAverage" dxfId="768" priority="79"/>
  </conditionalFormatting>
  <conditionalFormatting sqref="I187 I189">
    <cfRule type="aboveAverage" dxfId="767" priority="77"/>
  </conditionalFormatting>
  <conditionalFormatting sqref="E196 E198">
    <cfRule type="aboveAverage" dxfId="766" priority="49"/>
  </conditionalFormatting>
  <conditionalFormatting sqref="G197 G201">
    <cfRule type="containsBlanks" dxfId="765" priority="46">
      <formula>LEN(TRIM(G197))=0</formula>
    </cfRule>
    <cfRule type="aboveAverage" dxfId="764" priority="47"/>
  </conditionalFormatting>
  <conditionalFormatting sqref="G205 G209">
    <cfRule type="containsBlanks" dxfId="763" priority="44">
      <formula>LEN(TRIM(G205))=0</formula>
    </cfRule>
    <cfRule type="aboveAverage" dxfId="762" priority="45"/>
  </conditionalFormatting>
  <conditionalFormatting sqref="E200 E202">
    <cfRule type="aboveAverage" dxfId="761" priority="43"/>
  </conditionalFormatting>
  <conditionalFormatting sqref="E204 E206">
    <cfRule type="aboveAverage" dxfId="760" priority="41"/>
  </conditionalFormatting>
  <conditionalFormatting sqref="E204 E206">
    <cfRule type="containsBlanks" dxfId="759" priority="40">
      <formula>LEN(TRIM(E204))=0</formula>
    </cfRule>
  </conditionalFormatting>
  <conditionalFormatting sqref="E208 E210">
    <cfRule type="aboveAverage" dxfId="758" priority="39"/>
  </conditionalFormatting>
  <conditionalFormatting sqref="E208 E210">
    <cfRule type="containsBlanks" dxfId="757" priority="38">
      <formula>LEN(TRIM(E208))=0</formula>
    </cfRule>
  </conditionalFormatting>
  <conditionalFormatting sqref="I211 I213">
    <cfRule type="aboveAverage" dxfId="756" priority="37"/>
  </conditionalFormatting>
  <conditionalFormatting sqref="I211 I213">
    <cfRule type="containsBlanks" dxfId="755" priority="36">
      <formula>LEN(TRIM(I211))=0</formula>
    </cfRule>
  </conditionalFormatting>
  <conditionalFormatting sqref="I199 I207">
    <cfRule type="containsBlanks" dxfId="754" priority="34">
      <formula>LEN(TRIM(I199))=0</formula>
    </cfRule>
    <cfRule type="aboveAverage" dxfId="753" priority="35"/>
  </conditionalFormatting>
  <conditionalFormatting sqref="I219 I223">
    <cfRule type="containsBlanks" dxfId="752" priority="32">
      <formula>LEN(TRIM(I219))=0</formula>
    </cfRule>
    <cfRule type="aboveAverage" dxfId="751" priority="33"/>
  </conditionalFormatting>
  <conditionalFormatting sqref="G218 G220">
    <cfRule type="aboveAverage" dxfId="750" priority="31"/>
  </conditionalFormatting>
  <conditionalFormatting sqref="G218 G220">
    <cfRule type="containsBlanks" dxfId="749" priority="30">
      <formula>LEN(TRIM(G218))=0</formula>
    </cfRule>
  </conditionalFormatting>
  <conditionalFormatting sqref="G222 G224">
    <cfRule type="aboveAverage" dxfId="748" priority="29"/>
  </conditionalFormatting>
  <conditionalFormatting sqref="G222 G224">
    <cfRule type="containsBlanks" dxfId="747" priority="28">
      <formula>LEN(TRIM(G222))=0</formula>
    </cfRule>
  </conditionalFormatting>
  <conditionalFormatting sqref="I226 I228">
    <cfRule type="aboveAverage" dxfId="746" priority="27"/>
  </conditionalFormatting>
  <conditionalFormatting sqref="I226 I228">
    <cfRule type="containsBlanks" dxfId="745" priority="26">
      <formula>LEN(TRIM(I226))=0</formula>
    </cfRule>
  </conditionalFormatting>
  <conditionalFormatting sqref="AJ7:AJ44">
    <cfRule type="expression" dxfId="744" priority="17">
      <formula>AND(AI7="",FIND(",",AJ7))</formula>
    </cfRule>
    <cfRule type="expression" dxfId="743" priority="19">
      <formula>AND(AI7="",COUNTIF(AJ7,"*,*")=0)</formula>
    </cfRule>
  </conditionalFormatting>
  <conditionalFormatting sqref="AH7:AH44">
    <cfRule type="expression" dxfId="742" priority="20">
      <formula>AND(AG7="",FIND(",",AH7))</formula>
    </cfRule>
    <cfRule type="expression" dxfId="741" priority="21">
      <formula>AND(AG7="",COUNTIF(AH7,"*,*")=0)</formula>
    </cfRule>
  </conditionalFormatting>
  <conditionalFormatting sqref="AL7:AL44">
    <cfRule type="expression" dxfId="740" priority="22">
      <formula>AND(AK7="",FIND(",",AL7))</formula>
    </cfRule>
    <cfRule type="expression" dxfId="739" priority="23">
      <formula>AND(AK7="",COUNTIF(AL7,"*,*")=0)</formula>
    </cfRule>
  </conditionalFormatting>
  <conditionalFormatting sqref="AF7:AF44">
    <cfRule type="expression" dxfId="738" priority="18">
      <formula>AND(AE7="",COUNTIF(AF7,"*,*")=0)</formula>
    </cfRule>
  </conditionalFormatting>
  <conditionalFormatting sqref="AN7:AN44">
    <cfRule type="expression" dxfId="737" priority="14">
      <formula>AND(AM7="",COUNTIF(AN7,"*,*")=0)</formula>
    </cfRule>
    <cfRule type="expression" dxfId="736" priority="16">
      <formula>AND(AM7="",FIND(",",AN7))</formula>
    </cfRule>
  </conditionalFormatting>
  <conditionalFormatting sqref="AP7:AP44">
    <cfRule type="expression" dxfId="735" priority="13">
      <formula>AND(AO7="",COUNTIF(AP7,"*,*")=0)</formula>
    </cfRule>
    <cfRule type="expression" dxfId="734" priority="15">
      <formula>AND(AO7="",FIND(",",AP7))</formula>
    </cfRule>
  </conditionalFormatting>
  <conditionalFormatting sqref="I28:I32">
    <cfRule type="expression" dxfId="733" priority="7">
      <formula>FIND(2,I28,1)</formula>
    </cfRule>
    <cfRule type="expression" dxfId="732" priority="8">
      <formula>FIND(1,I28,1)</formula>
    </cfRule>
  </conditionalFormatting>
  <conditionalFormatting sqref="I21:I25">
    <cfRule type="expression" dxfId="731" priority="9">
      <formula>FIND(2,I21,1)</formula>
    </cfRule>
    <cfRule type="expression" dxfId="730" priority="10">
      <formula>FIND(1,I21,1)</formula>
    </cfRule>
  </conditionalFormatting>
  <conditionalFormatting sqref="I7:I11">
    <cfRule type="expression" dxfId="729" priority="11">
      <formula>FIND(2,I7,1)</formula>
    </cfRule>
    <cfRule type="expression" dxfId="728" priority="12">
      <formula>FIND(1,I7,1)</formula>
    </cfRule>
  </conditionalFormatting>
  <conditionalFormatting sqref="I35:I39">
    <cfRule type="expression" dxfId="727" priority="5">
      <formula>FIND(2,I35,1)</formula>
    </cfRule>
    <cfRule type="expression" dxfId="726" priority="6">
      <formula>FIND(1,I35,1)</formula>
    </cfRule>
  </conditionalFormatting>
  <conditionalFormatting sqref="I42:I46">
    <cfRule type="expression" dxfId="725" priority="3">
      <formula>FIND(2,I42,1)</formula>
    </cfRule>
    <cfRule type="expression" dxfId="724" priority="4">
      <formula>FIND(1,I42,1)</formula>
    </cfRule>
  </conditionalFormatting>
  <conditionalFormatting sqref="I14:I18">
    <cfRule type="expression" dxfId="723" priority="1">
      <formula>FIND(2,I14,1)</formula>
    </cfRule>
    <cfRule type="expression" dxfId="722" priority="2">
      <formula>FIND(1,I14,1)</formula>
    </cfRule>
  </conditionalFormatting>
  <conditionalFormatting sqref="B300:B306">
    <cfRule type="expression" dxfId="721" priority="1043">
      <formula>A300=3</formula>
    </cfRule>
    <cfRule type="expression" dxfId="720" priority="1044">
      <formula>A300=2</formula>
    </cfRule>
    <cfRule type="expression" dxfId="719" priority="1045">
      <formula>A300=1</formula>
    </cfRule>
    <cfRule type="containsBlanks" dxfId="718" priority="1046">
      <formula>LEN(TRIM(B300))=0</formula>
    </cfRule>
    <cfRule type="duplicateValues" dxfId="717" priority="1047"/>
  </conditionalFormatting>
  <pageMargins left="0.78740157480314965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  <rowBreaks count="4" manualBreakCount="4">
    <brk id="98" max="16383" man="1"/>
    <brk id="136" max="16383" man="1"/>
    <brk id="192" max="16383" man="1"/>
    <brk id="231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11"/>
  <sheetViews>
    <sheetView showGridLines="0" showRowColHeaders="0" workbookViewId="0">
      <pane ySplit="1" topLeftCell="A2" activePane="bottomLeft" state="frozen"/>
      <selection pane="bottomLeft" activeCell="A5" sqref="A5"/>
    </sheetView>
  </sheetViews>
  <sheetFormatPr defaultRowHeight="12.75" x14ac:dyDescent="0.2"/>
  <cols>
    <col min="1" max="1" width="3.28515625" style="1" customWidth="1"/>
    <col min="2" max="2" width="34.42578125" style="1" customWidth="1"/>
    <col min="3" max="3" width="4.7109375" style="1" customWidth="1"/>
    <col min="4" max="4" width="1.140625" style="1" customWidth="1"/>
    <col min="5" max="5" width="2.7109375" style="1" customWidth="1"/>
    <col min="6" max="6" width="9.140625" style="1"/>
    <col min="7" max="7" width="2.7109375" style="1" customWidth="1"/>
    <col min="8" max="8" width="1.140625" style="1" customWidth="1"/>
    <col min="9" max="9" width="2.7109375" style="1" customWidth="1"/>
    <col min="10" max="10" width="9.140625" style="1"/>
    <col min="11" max="11" width="2.7109375" style="1" customWidth="1"/>
    <col min="12" max="12" width="1.140625" style="1" customWidth="1"/>
    <col min="13" max="13" width="2.7109375" style="1" customWidth="1"/>
    <col min="14" max="14" width="9.140625" style="1"/>
    <col min="15" max="15" width="2.7109375" style="1" customWidth="1"/>
    <col min="16" max="16" width="1.140625" style="1" customWidth="1"/>
    <col min="17" max="17" width="2.7109375" style="1" customWidth="1"/>
    <col min="18" max="18" width="9.140625" style="1"/>
    <col min="19" max="19" width="2.7109375" style="1" customWidth="1"/>
    <col min="20" max="20" width="1.140625" style="1" customWidth="1"/>
    <col min="21" max="21" width="2.7109375" style="1" customWidth="1"/>
    <col min="22" max="22" width="9.140625" style="1"/>
    <col min="23" max="23" width="5.7109375" style="1" bestFit="1" customWidth="1"/>
    <col min="24" max="24" width="5.5703125" style="1" hidden="1" customWidth="1"/>
    <col min="25" max="25" width="2.7109375" style="1" customWidth="1"/>
    <col min="26" max="26" width="1.140625" style="1" customWidth="1"/>
    <col min="27" max="27" width="2.7109375" style="1" customWidth="1"/>
    <col min="28" max="28" width="4.7109375" style="1" customWidth="1"/>
    <col min="29" max="29" width="9.140625" style="1"/>
    <col min="30" max="31" width="9.140625" style="1" hidden="1" customWidth="1"/>
    <col min="32" max="32" width="18.28515625" style="1" hidden="1" customWidth="1"/>
    <col min="33" max="33" width="9.140625" style="1" hidden="1" customWidth="1"/>
    <col min="34" max="34" width="16.5703125" style="1" hidden="1" customWidth="1"/>
    <col min="35" max="35" width="9.140625" style="1" hidden="1" customWidth="1"/>
    <col min="36" max="36" width="20.85546875" style="1" hidden="1" customWidth="1"/>
    <col min="37" max="37" width="9.140625" style="1" hidden="1" customWidth="1"/>
    <col min="38" max="38" width="13.85546875" style="1" hidden="1" customWidth="1"/>
    <col min="39" max="39" width="9.140625" style="1" hidden="1" customWidth="1"/>
    <col min="40" max="40" width="17.28515625" style="1" hidden="1" customWidth="1"/>
    <col min="41" max="41" width="9.140625" style="1" hidden="1" customWidth="1"/>
    <col min="42" max="42" width="13.85546875" style="1" hidden="1" customWidth="1"/>
    <col min="43" max="16384" width="9.140625" style="1"/>
  </cols>
  <sheetData>
    <row r="1" spans="1:42" x14ac:dyDescent="0.2">
      <c r="A1" s="206" t="str">
        <f>UPPER((Kalend!E14)&amp;" - "&amp;(Kalend!C14))&amp;" - "&amp;LOWER(Kalend!D14)&amp;" - "&amp;(Kalend!A14)&amp;" kell "&amp;(Kalend!B14)&amp;" - "&amp;(Kalend!F14)</f>
        <v>V3 - VOKA IV SISE-KV 3. ETAPP - duo - P, 09.01.2022 kell 11:00 - Voka petangihall</v>
      </c>
      <c r="O1" s="157"/>
      <c r="P1" s="157"/>
      <c r="Q1" s="187"/>
      <c r="R1" s="187"/>
      <c r="S1" s="187"/>
      <c r="T1" s="40"/>
      <c r="U1" s="40"/>
      <c r="V1" s="40"/>
      <c r="W1" s="157"/>
      <c r="X1" s="303"/>
      <c r="Y1" s="157"/>
      <c r="Z1" s="157"/>
      <c r="AD1" s="44" t="s">
        <v>71</v>
      </c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303"/>
      <c r="AP1" s="303"/>
    </row>
    <row r="2" spans="1:42" x14ac:dyDescent="0.2">
      <c r="F2" s="157"/>
      <c r="L2" s="214"/>
      <c r="M2" s="214"/>
      <c r="N2" s="214"/>
      <c r="O2" s="157"/>
      <c r="P2" s="157"/>
      <c r="Q2" s="157"/>
      <c r="R2" s="157"/>
      <c r="S2" s="157"/>
      <c r="T2" s="214"/>
      <c r="U2" s="214"/>
      <c r="V2" s="215" t="s">
        <v>195</v>
      </c>
      <c r="W2" s="216">
        <v>1</v>
      </c>
      <c r="Y2" s="217" t="s">
        <v>196</v>
      </c>
      <c r="Z2" s="157"/>
      <c r="AD2" s="157"/>
      <c r="AE2" s="157"/>
      <c r="AF2" s="157"/>
      <c r="AG2" s="157"/>
      <c r="AH2" s="157"/>
      <c r="AI2" s="157"/>
      <c r="AJ2" s="217"/>
      <c r="AK2" s="157"/>
      <c r="AL2" s="157"/>
      <c r="AM2" s="157"/>
      <c r="AN2" s="157"/>
    </row>
    <row r="3" spans="1:42" x14ac:dyDescent="0.2">
      <c r="F3" s="157"/>
      <c r="L3" s="214"/>
      <c r="M3" s="214"/>
      <c r="N3" s="214"/>
      <c r="O3" s="157"/>
      <c r="P3" s="157"/>
      <c r="Q3" s="157"/>
      <c r="R3" s="157"/>
      <c r="S3" s="157"/>
      <c r="T3" s="214"/>
      <c r="U3" s="214"/>
      <c r="V3" s="218" t="s">
        <v>197</v>
      </c>
      <c r="W3" s="216">
        <v>0.5</v>
      </c>
      <c r="Y3" s="217" t="s">
        <v>196</v>
      </c>
      <c r="Z3" s="157"/>
      <c r="AE3" s="157"/>
      <c r="AG3" s="157"/>
      <c r="AH3" s="157"/>
      <c r="AI3" s="157"/>
      <c r="AJ3" s="157"/>
      <c r="AK3" s="157"/>
      <c r="AL3" s="157"/>
      <c r="AM3" s="157"/>
      <c r="AN3" s="157"/>
    </row>
    <row r="4" spans="1:42" x14ac:dyDescent="0.2">
      <c r="F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219" t="s">
        <v>198</v>
      </c>
      <c r="W4" s="216">
        <v>0</v>
      </c>
      <c r="Y4" s="217" t="s">
        <v>196</v>
      </c>
      <c r="Z4" s="157"/>
      <c r="AA4" s="157"/>
      <c r="AE4" s="214"/>
      <c r="AF4" s="214"/>
      <c r="AG4" s="214"/>
      <c r="AH4" s="205"/>
      <c r="AI4" s="214"/>
      <c r="AJ4" s="214"/>
      <c r="AK4" s="214"/>
      <c r="AL4" s="214"/>
      <c r="AM4" s="214"/>
      <c r="AN4" s="214"/>
      <c r="AO4" s="214"/>
      <c r="AP4" s="214"/>
    </row>
    <row r="5" spans="1:42" x14ac:dyDescent="0.2">
      <c r="F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363" t="s">
        <v>231</v>
      </c>
      <c r="AC5" s="157"/>
      <c r="AD5" s="360" t="s">
        <v>176</v>
      </c>
    </row>
    <row r="6" spans="1:42" x14ac:dyDescent="0.2">
      <c r="A6" s="326" t="s">
        <v>10</v>
      </c>
      <c r="B6" s="326" t="s">
        <v>58</v>
      </c>
      <c r="C6" s="327" t="s">
        <v>133</v>
      </c>
      <c r="D6" s="328"/>
      <c r="E6" s="328"/>
      <c r="F6" s="329"/>
      <c r="G6" s="327" t="s">
        <v>136</v>
      </c>
      <c r="H6" s="328"/>
      <c r="I6" s="328"/>
      <c r="J6" s="329"/>
      <c r="K6" s="327" t="s">
        <v>139</v>
      </c>
      <c r="L6" s="328"/>
      <c r="M6" s="328"/>
      <c r="N6" s="329"/>
      <c r="O6" s="327" t="s">
        <v>142</v>
      </c>
      <c r="P6" s="328"/>
      <c r="Q6" s="328"/>
      <c r="R6" s="329"/>
      <c r="S6" s="327" t="s">
        <v>144</v>
      </c>
      <c r="T6" s="328"/>
      <c r="U6" s="328"/>
      <c r="V6" s="329"/>
      <c r="W6" s="326" t="s">
        <v>79</v>
      </c>
      <c r="X6" s="330" t="s">
        <v>220</v>
      </c>
      <c r="Y6" s="330"/>
      <c r="Z6" s="331" t="s">
        <v>221</v>
      </c>
      <c r="AA6" s="332"/>
      <c r="AB6" s="157"/>
      <c r="AC6" s="157"/>
      <c r="AD6" s="158" t="s">
        <v>224</v>
      </c>
      <c r="AE6" s="159"/>
      <c r="AF6" s="159" t="s">
        <v>191</v>
      </c>
      <c r="AG6" s="159"/>
      <c r="AH6" s="209" t="s">
        <v>192</v>
      </c>
      <c r="AI6" s="159"/>
      <c r="AJ6" s="159" t="s">
        <v>193</v>
      </c>
      <c r="AK6" s="160"/>
      <c r="AL6" s="159" t="s">
        <v>194</v>
      </c>
      <c r="AM6" s="160"/>
      <c r="AN6" s="160" t="s">
        <v>229</v>
      </c>
      <c r="AO6" s="359"/>
      <c r="AP6" s="160" t="s">
        <v>230</v>
      </c>
    </row>
    <row r="7" spans="1:42" x14ac:dyDescent="0.2">
      <c r="A7" s="333">
        <v>1</v>
      </c>
      <c r="B7" s="308" t="s">
        <v>277</v>
      </c>
      <c r="C7" s="334"/>
      <c r="D7" s="335" t="s">
        <v>222</v>
      </c>
      <c r="E7" s="336"/>
      <c r="F7" s="337"/>
      <c r="G7" s="334"/>
      <c r="H7" s="335" t="s">
        <v>222</v>
      </c>
      <c r="I7" s="336"/>
      <c r="J7" s="337"/>
      <c r="K7" s="334"/>
      <c r="L7" s="335" t="s">
        <v>222</v>
      </c>
      <c r="M7" s="336"/>
      <c r="N7" s="337"/>
      <c r="O7" s="334"/>
      <c r="P7" s="335" t="s">
        <v>222</v>
      </c>
      <c r="Q7" s="336"/>
      <c r="R7" s="337"/>
      <c r="S7" s="334"/>
      <c r="T7" s="335" t="s">
        <v>222</v>
      </c>
      <c r="U7" s="336"/>
      <c r="V7" s="337"/>
      <c r="W7" s="338">
        <f t="shared" ref="W7:W18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0</v>
      </c>
      <c r="X7" s="339"/>
      <c r="Y7" s="334">
        <f>C7+G7+K7+O7+S7</f>
        <v>0</v>
      </c>
      <c r="Z7" s="335" t="s">
        <v>222</v>
      </c>
      <c r="AA7" s="340">
        <f>E7+I7+M7+Q7+U7</f>
        <v>0</v>
      </c>
      <c r="AB7" s="341">
        <f>Y7-AA7</f>
        <v>0</v>
      </c>
      <c r="AD7" s="211">
        <f>SUM(AE7:AP7)</f>
        <v>286</v>
      </c>
      <c r="AE7" s="212">
        <f>IFERROR(INDEX(V!$R:$R,MATCH(AF7,V!$L:$L,0)),"")</f>
        <v>143</v>
      </c>
      <c r="AF7" s="213" t="str">
        <f>IFERROR(LEFT($B7,(FIND(",",$B7,1)-1)),"")</f>
        <v>Hillar Neiland</v>
      </c>
      <c r="AG7" s="212">
        <f>IFERROR(INDEX(V!$R:$R,MATCH(AH7,V!$L:$L,0)),"")</f>
        <v>143</v>
      </c>
      <c r="AH7" s="213" t="str">
        <f t="shared" ref="AH7:AH15" si="1">IFERROR(MID($B7,FIND(", ",$B7)+2,2146),"")</f>
        <v>Jaan Saar</v>
      </c>
      <c r="AI7" s="212" t="str">
        <f>IFERROR(INDEX(V!$R:$R,MATCH(AJ7,V!$L:$L,0)),"")</f>
        <v/>
      </c>
      <c r="AJ7" s="213" t="str">
        <f>IFERROR(MID($B7,FIND("^",SUBSTITUTE($B7,", ","^",1))+2,FIND("^",SUBSTITUTE($B7,", ","^",2))-FIND("^",SUBSTITUTE($B7,", ","^",1))-2),"")</f>
        <v/>
      </c>
      <c r="AK7" s="212" t="str">
        <f>IFERROR(INDEX(V!$R:$R,MATCH(AL7,V!$L:$L,0)),"")</f>
        <v/>
      </c>
      <c r="AL7" s="213" t="str">
        <f>IFERROR(MID($B7,FIND(", ",$B7,FIND(", ",$B7,FIND(", ",$B7))+1)+2,30000),"")</f>
        <v/>
      </c>
      <c r="AM7" s="212" t="str">
        <f>IFERROR(INDEX(V!$R:$R,MATCH(AN7,V!$L:$L,0)),"")</f>
        <v/>
      </c>
      <c r="AN7" s="213" t="str">
        <f>IFERROR(MID($B7,FIND(", ",$B7,FIND(", ",$B7)+1)+2,FIND(", ",$B7,FIND(", ",$B7,FIND(", ",$B7)+1)+1)-FIND(", ",$B7,FIND(", ",$B7)+1)-2),"")</f>
        <v/>
      </c>
      <c r="AO7" s="212" t="str">
        <f>IFERROR(INDEX(V!$R:$R,MATCH(AP7,V!$L:$L,0)),"")</f>
        <v/>
      </c>
      <c r="AP7" s="213" t="str">
        <f>IFERROR(MID($B7,FIND(", ",$B7,FIND(", ",$B7,FIND(", ",$B7)+1)+1)+2,30000),"")</f>
        <v/>
      </c>
    </row>
    <row r="8" spans="1:42" x14ac:dyDescent="0.2">
      <c r="A8" s="333">
        <v>2</v>
      </c>
      <c r="B8" s="308" t="s">
        <v>234</v>
      </c>
      <c r="C8" s="334"/>
      <c r="D8" s="335" t="s">
        <v>222</v>
      </c>
      <c r="E8" s="336"/>
      <c r="F8" s="337"/>
      <c r="G8" s="334"/>
      <c r="H8" s="335" t="s">
        <v>222</v>
      </c>
      <c r="I8" s="336"/>
      <c r="J8" s="337"/>
      <c r="K8" s="334"/>
      <c r="L8" s="335" t="s">
        <v>222</v>
      </c>
      <c r="M8" s="336"/>
      <c r="N8" s="337"/>
      <c r="O8" s="334"/>
      <c r="P8" s="335" t="s">
        <v>222</v>
      </c>
      <c r="Q8" s="336"/>
      <c r="R8" s="337"/>
      <c r="S8" s="334"/>
      <c r="T8" s="335" t="s">
        <v>222</v>
      </c>
      <c r="U8" s="336"/>
      <c r="V8" s="337"/>
      <c r="W8" s="338">
        <f t="shared" si="0"/>
        <v>0</v>
      </c>
      <c r="X8" s="339"/>
      <c r="Y8" s="334">
        <f t="shared" ref="Y8:Y18" si="2">C8+G8+K8+O8+S8</f>
        <v>0</v>
      </c>
      <c r="Z8" s="335" t="s">
        <v>222</v>
      </c>
      <c r="AA8" s="340">
        <f t="shared" ref="AA8:AA18" si="3">E8+I8+M8+Q8+U8</f>
        <v>0</v>
      </c>
      <c r="AB8" s="341">
        <f t="shared" ref="AB8:AB18" si="4">Y8-AA8</f>
        <v>0</v>
      </c>
      <c r="AC8" s="210"/>
      <c r="AD8" s="211">
        <f t="shared" ref="AD8:AD11" si="5">SUM(AE8:AL8)</f>
        <v>293</v>
      </c>
      <c r="AE8" s="212">
        <f>IFERROR(INDEX(V!$R:$R,MATCH(AF8,V!$L:$L,0)),"")</f>
        <v>159</v>
      </c>
      <c r="AF8" s="213" t="str">
        <f t="shared" ref="AF8:AF18" si="6">IFERROR(LEFT($B8,(FIND(",",$B8,1)-1)),"")</f>
        <v>Henri Mitt</v>
      </c>
      <c r="AG8" s="212">
        <f>IFERROR(INDEX(V!$R:$R,MATCH(AH8,V!$L:$L,0)),"")</f>
        <v>134</v>
      </c>
      <c r="AH8" s="213" t="str">
        <f t="shared" si="1"/>
        <v>Urmas Randlaine</v>
      </c>
      <c r="AI8" s="212" t="str">
        <f>IFERROR(INDEX(V!$R:$R,MATCH(AJ8,V!$L:$L,0)),"")</f>
        <v/>
      </c>
      <c r="AJ8" s="213" t="str">
        <f t="shared" ref="AJ8:AJ18" si="7">IFERROR(MID($B8,FIND("^",SUBSTITUTE($B8,", ","^",1))+2,FIND("^",SUBSTITUTE($B8,", ","^",2))-FIND("^",SUBSTITUTE($B8,", ","^",1))-2),"")</f>
        <v/>
      </c>
      <c r="AK8" s="212" t="str">
        <f>IFERROR(INDEX(V!$R:$R,MATCH(AL8,V!$L:$L,0)),"")</f>
        <v/>
      </c>
      <c r="AL8" s="213" t="str">
        <f t="shared" ref="AL8:AL18" si="8">IFERROR(MID($B8,FIND(", ",$B8,FIND(", ",$B8,FIND(", ",$B8))+1)+2,30000),"")</f>
        <v/>
      </c>
      <c r="AM8" s="212" t="str">
        <f>IFERROR(INDEX(V!$R:$R,MATCH(AN8,V!$L:$L,0)),"")</f>
        <v/>
      </c>
      <c r="AN8" s="213" t="str">
        <f t="shared" ref="AN8:AN18" si="9">IFERROR(MID($B8,FIND(", ",$B8,FIND(", ",$B8)+1)+2,FIND(", ",$B8,FIND(", ",$B8,FIND(", ",$B8)+1)+1)-FIND(", ",$B8,FIND(", ",$B8)+1)-2),"")</f>
        <v/>
      </c>
      <c r="AO8" s="212" t="str">
        <f>IFERROR(INDEX(V!$R:$R,MATCH(AP8,V!$L:$L,0)),"")</f>
        <v/>
      </c>
      <c r="AP8" s="213" t="str">
        <f t="shared" ref="AP8:AP18" si="10">IFERROR(MID($B8,FIND(", ",$B8,FIND(", ",$B8,FIND(", ",$B8)+1)+1)+2,30000),"")</f>
        <v/>
      </c>
    </row>
    <row r="9" spans="1:42" x14ac:dyDescent="0.2">
      <c r="A9" s="333">
        <v>3</v>
      </c>
      <c r="B9" s="255" t="s">
        <v>260</v>
      </c>
      <c r="C9" s="334"/>
      <c r="D9" s="335" t="s">
        <v>222</v>
      </c>
      <c r="E9" s="336"/>
      <c r="F9" s="337"/>
      <c r="G9" s="334"/>
      <c r="H9" s="335" t="s">
        <v>222</v>
      </c>
      <c r="I9" s="336"/>
      <c r="J9" s="337"/>
      <c r="K9" s="334"/>
      <c r="L9" s="335" t="s">
        <v>222</v>
      </c>
      <c r="M9" s="336"/>
      <c r="N9" s="337"/>
      <c r="O9" s="334"/>
      <c r="P9" s="335" t="s">
        <v>222</v>
      </c>
      <c r="Q9" s="336"/>
      <c r="R9" s="337"/>
      <c r="S9" s="334"/>
      <c r="T9" s="335" t="s">
        <v>222</v>
      </c>
      <c r="U9" s="336"/>
      <c r="V9" s="337"/>
      <c r="W9" s="338">
        <f t="shared" si="0"/>
        <v>0</v>
      </c>
      <c r="X9" s="339"/>
      <c r="Y9" s="334">
        <f t="shared" si="2"/>
        <v>0</v>
      </c>
      <c r="Z9" s="335" t="s">
        <v>222</v>
      </c>
      <c r="AA9" s="340">
        <f t="shared" si="3"/>
        <v>0</v>
      </c>
      <c r="AB9" s="341">
        <f t="shared" si="4"/>
        <v>0</v>
      </c>
      <c r="AC9" s="210"/>
      <c r="AD9" s="211">
        <f t="shared" si="5"/>
        <v>282</v>
      </c>
      <c r="AE9" s="212">
        <f>IFERROR(INDEX(V!$R:$R,MATCH(AF9,V!$L:$L,0)),"")</f>
        <v>141</v>
      </c>
      <c r="AF9" s="213" t="str">
        <f t="shared" si="6"/>
        <v>Enn Tokman</v>
      </c>
      <c r="AG9" s="212">
        <f>IFERROR(INDEX(V!$R:$R,MATCH(AH9,V!$L:$L,0)),"")</f>
        <v>141</v>
      </c>
      <c r="AH9" s="213" t="str">
        <f t="shared" si="1"/>
        <v>Kenneth Muusikus</v>
      </c>
      <c r="AI9" s="212" t="str">
        <f>IFERROR(INDEX(V!$R:$R,MATCH(AJ9,V!$L:$L,0)),"")</f>
        <v/>
      </c>
      <c r="AJ9" s="213" t="str">
        <f t="shared" si="7"/>
        <v/>
      </c>
      <c r="AK9" s="212" t="str">
        <f>IFERROR(INDEX(V!$R:$R,MATCH(AL9,V!$L:$L,0)),"")</f>
        <v/>
      </c>
      <c r="AL9" s="213" t="str">
        <f t="shared" si="8"/>
        <v/>
      </c>
      <c r="AM9" s="212" t="str">
        <f>IFERROR(INDEX(V!$R:$R,MATCH(AN9,V!$L:$L,0)),"")</f>
        <v/>
      </c>
      <c r="AN9" s="213" t="str">
        <f t="shared" si="9"/>
        <v/>
      </c>
      <c r="AO9" s="212" t="str">
        <f>IFERROR(INDEX(V!$R:$R,MATCH(AP9,V!$L:$L,0)),"")</f>
        <v/>
      </c>
      <c r="AP9" s="213" t="str">
        <f t="shared" si="10"/>
        <v/>
      </c>
    </row>
    <row r="10" spans="1:42" x14ac:dyDescent="0.2">
      <c r="A10" s="333">
        <v>4</v>
      </c>
      <c r="B10" s="255" t="s">
        <v>270</v>
      </c>
      <c r="C10" s="334"/>
      <c r="D10" s="335" t="s">
        <v>222</v>
      </c>
      <c r="E10" s="336"/>
      <c r="F10" s="337"/>
      <c r="G10" s="334"/>
      <c r="H10" s="335" t="s">
        <v>222</v>
      </c>
      <c r="I10" s="336"/>
      <c r="J10" s="337"/>
      <c r="K10" s="334"/>
      <c r="L10" s="335" t="s">
        <v>222</v>
      </c>
      <c r="M10" s="336"/>
      <c r="N10" s="337"/>
      <c r="O10" s="334"/>
      <c r="P10" s="335" t="s">
        <v>222</v>
      </c>
      <c r="Q10" s="336"/>
      <c r="R10" s="337"/>
      <c r="S10" s="334"/>
      <c r="T10" s="335" t="s">
        <v>222</v>
      </c>
      <c r="U10" s="336"/>
      <c r="V10" s="337"/>
      <c r="W10" s="338">
        <f t="shared" si="0"/>
        <v>0</v>
      </c>
      <c r="X10" s="339"/>
      <c r="Y10" s="334">
        <f t="shared" si="2"/>
        <v>0</v>
      </c>
      <c r="Z10" s="335" t="s">
        <v>222</v>
      </c>
      <c r="AA10" s="340">
        <f t="shared" si="3"/>
        <v>0</v>
      </c>
      <c r="AB10" s="341">
        <f t="shared" si="4"/>
        <v>0</v>
      </c>
      <c r="AC10" s="210"/>
      <c r="AD10" s="211">
        <f t="shared" si="5"/>
        <v>256</v>
      </c>
      <c r="AE10" s="212">
        <f>IFERROR(INDEX(V!$R:$R,MATCH(AF10,V!$L:$L,0)),"")</f>
        <v>153</v>
      </c>
      <c r="AF10" s="213" t="str">
        <f t="shared" si="6"/>
        <v>Kaspar Mänd</v>
      </c>
      <c r="AG10" s="212">
        <f>IFERROR(INDEX(V!$R:$R,MATCH(AH10,V!$L:$L,0)),"")</f>
        <v>103</v>
      </c>
      <c r="AH10" s="213" t="str">
        <f t="shared" si="1"/>
        <v>Sirje Maala</v>
      </c>
      <c r="AI10" s="212" t="str">
        <f>IFERROR(INDEX(V!$R:$R,MATCH(AJ10,V!$L:$L,0)),"")</f>
        <v/>
      </c>
      <c r="AJ10" s="213" t="str">
        <f t="shared" si="7"/>
        <v/>
      </c>
      <c r="AK10" s="212" t="str">
        <f>IFERROR(INDEX(V!$R:$R,MATCH(AL10,V!$L:$L,0)),"")</f>
        <v/>
      </c>
      <c r="AL10" s="213" t="str">
        <f t="shared" si="8"/>
        <v/>
      </c>
      <c r="AM10" s="212" t="str">
        <f>IFERROR(INDEX(V!$R:$R,MATCH(AN10,V!$L:$L,0)),"")</f>
        <v/>
      </c>
      <c r="AN10" s="213" t="str">
        <f t="shared" si="9"/>
        <v/>
      </c>
      <c r="AO10" s="212" t="str">
        <f>IFERROR(INDEX(V!$R:$R,MATCH(AP10,V!$L:$L,0)),"")</f>
        <v/>
      </c>
      <c r="AP10" s="213" t="str">
        <f t="shared" si="10"/>
        <v/>
      </c>
    </row>
    <row r="11" spans="1:42" x14ac:dyDescent="0.2">
      <c r="A11" s="333">
        <v>5</v>
      </c>
      <c r="B11" s="308" t="s">
        <v>271</v>
      </c>
      <c r="C11" s="334"/>
      <c r="D11" s="335" t="s">
        <v>222</v>
      </c>
      <c r="E11" s="336"/>
      <c r="F11" s="337"/>
      <c r="G11" s="334"/>
      <c r="H11" s="335" t="s">
        <v>222</v>
      </c>
      <c r="I11" s="336"/>
      <c r="J11" s="337"/>
      <c r="K11" s="334"/>
      <c r="L11" s="335" t="s">
        <v>222</v>
      </c>
      <c r="M11" s="336"/>
      <c r="N11" s="337"/>
      <c r="O11" s="334"/>
      <c r="P11" s="335" t="s">
        <v>222</v>
      </c>
      <c r="Q11" s="336"/>
      <c r="R11" s="337"/>
      <c r="S11" s="334"/>
      <c r="T11" s="335" t="s">
        <v>222</v>
      </c>
      <c r="U11" s="336"/>
      <c r="V11" s="337"/>
      <c r="W11" s="338">
        <f t="shared" si="0"/>
        <v>0</v>
      </c>
      <c r="X11" s="339"/>
      <c r="Y11" s="334">
        <f t="shared" si="2"/>
        <v>0</v>
      </c>
      <c r="Z11" s="335" t="s">
        <v>222</v>
      </c>
      <c r="AA11" s="340">
        <f t="shared" si="3"/>
        <v>0</v>
      </c>
      <c r="AB11" s="341">
        <f t="shared" si="4"/>
        <v>0</v>
      </c>
      <c r="AC11" s="210"/>
      <c r="AD11" s="211">
        <f t="shared" si="5"/>
        <v>67</v>
      </c>
      <c r="AE11" s="212">
        <f>IFERROR(INDEX(V!$R:$R,MATCH(AF11,V!$L:$L,0)),"")</f>
        <v>51</v>
      </c>
      <c r="AF11" s="213" t="str">
        <f t="shared" si="6"/>
        <v>Aleksander Korikov</v>
      </c>
      <c r="AG11" s="212">
        <f>IFERROR(INDEX(V!$R:$R,MATCH(AH11,V!$L:$L,0)),"")</f>
        <v>16</v>
      </c>
      <c r="AH11" s="213" t="str">
        <f t="shared" si="1"/>
        <v>Jevgeni Korikov</v>
      </c>
      <c r="AI11" s="212" t="str">
        <f>IFERROR(INDEX(V!$R:$R,MATCH(AJ11,V!$L:$L,0)),"")</f>
        <v/>
      </c>
      <c r="AJ11" s="213" t="str">
        <f t="shared" si="7"/>
        <v/>
      </c>
      <c r="AK11" s="212" t="str">
        <f>IFERROR(INDEX(V!$R:$R,MATCH(AL11,V!$L:$L,0)),"")</f>
        <v/>
      </c>
      <c r="AL11" s="213" t="str">
        <f t="shared" si="8"/>
        <v/>
      </c>
      <c r="AM11" s="212" t="str">
        <f>IFERROR(INDEX(V!$R:$R,MATCH(AN11,V!$L:$L,0)),"")</f>
        <v/>
      </c>
      <c r="AN11" s="213" t="str">
        <f t="shared" si="9"/>
        <v/>
      </c>
      <c r="AO11" s="212" t="str">
        <f>IFERROR(INDEX(V!$R:$R,MATCH(AP11,V!$L:$L,0)),"")</f>
        <v/>
      </c>
      <c r="AP11" s="213" t="str">
        <f t="shared" si="10"/>
        <v/>
      </c>
    </row>
    <row r="12" spans="1:42" x14ac:dyDescent="0.2">
      <c r="A12" s="333">
        <v>6</v>
      </c>
      <c r="B12" s="255" t="s">
        <v>209</v>
      </c>
      <c r="C12" s="334"/>
      <c r="D12" s="335" t="s">
        <v>222</v>
      </c>
      <c r="E12" s="336"/>
      <c r="F12" s="337"/>
      <c r="G12" s="334"/>
      <c r="H12" s="335" t="s">
        <v>222</v>
      </c>
      <c r="I12" s="336"/>
      <c r="J12" s="337"/>
      <c r="K12" s="334"/>
      <c r="L12" s="335" t="s">
        <v>222</v>
      </c>
      <c r="M12" s="336"/>
      <c r="N12" s="337"/>
      <c r="O12" s="334"/>
      <c r="P12" s="335" t="s">
        <v>222</v>
      </c>
      <c r="Q12" s="336"/>
      <c r="R12" s="337"/>
      <c r="S12" s="334"/>
      <c r="T12" s="335" t="s">
        <v>222</v>
      </c>
      <c r="U12" s="336"/>
      <c r="V12" s="337"/>
      <c r="W12" s="338">
        <f t="shared" si="0"/>
        <v>0</v>
      </c>
      <c r="X12" s="339"/>
      <c r="Y12" s="334">
        <f t="shared" si="2"/>
        <v>0</v>
      </c>
      <c r="Z12" s="335" t="s">
        <v>222</v>
      </c>
      <c r="AA12" s="340">
        <f t="shared" si="3"/>
        <v>0</v>
      </c>
      <c r="AB12" s="341">
        <f t="shared" si="4"/>
        <v>0</v>
      </c>
      <c r="AC12" s="210"/>
      <c r="AD12" s="211">
        <f t="shared" ref="AD12:AD18" si="11">SUM(AE12:AL12)</f>
        <v>146</v>
      </c>
      <c r="AE12" s="212">
        <f>IFERROR(INDEX(V!$R:$R,MATCH(AF12,V!$L:$L,0)),"")</f>
        <v>73</v>
      </c>
      <c r="AF12" s="213" t="str">
        <f t="shared" si="6"/>
        <v>Jaan Sepp</v>
      </c>
      <c r="AG12" s="212">
        <f>IFERROR(INDEX(V!$R:$R,MATCH(AH12,V!$L:$L,0)),"")</f>
        <v>73</v>
      </c>
      <c r="AH12" s="213" t="str">
        <f t="shared" si="1"/>
        <v>Oskar Sepp</v>
      </c>
      <c r="AI12" s="212" t="str">
        <f>IFERROR(INDEX(V!$R:$R,MATCH(AJ12,V!$L:$L,0)),"")</f>
        <v/>
      </c>
      <c r="AJ12" s="213" t="str">
        <f t="shared" si="7"/>
        <v/>
      </c>
      <c r="AK12" s="212" t="str">
        <f>IFERROR(INDEX(V!$R:$R,MATCH(AL12,V!$L:$L,0)),"")</f>
        <v/>
      </c>
      <c r="AL12" s="213" t="str">
        <f t="shared" si="8"/>
        <v/>
      </c>
      <c r="AM12" s="212" t="str">
        <f>IFERROR(INDEX(V!$R:$R,MATCH(AN12,V!$L:$L,0)),"")</f>
        <v/>
      </c>
      <c r="AN12" s="213" t="str">
        <f t="shared" si="9"/>
        <v/>
      </c>
      <c r="AO12" s="212" t="str">
        <f>IFERROR(INDEX(V!$R:$R,MATCH(AP12,V!$L:$L,0)),"")</f>
        <v/>
      </c>
      <c r="AP12" s="213" t="str">
        <f t="shared" si="10"/>
        <v/>
      </c>
    </row>
    <row r="13" spans="1:42" x14ac:dyDescent="0.2">
      <c r="A13" s="333">
        <v>7</v>
      </c>
      <c r="B13" s="342" t="s">
        <v>236</v>
      </c>
      <c r="C13" s="334"/>
      <c r="D13" s="335" t="s">
        <v>222</v>
      </c>
      <c r="E13" s="336"/>
      <c r="F13" s="337"/>
      <c r="G13" s="334"/>
      <c r="H13" s="335" t="s">
        <v>222</v>
      </c>
      <c r="I13" s="336"/>
      <c r="J13" s="337"/>
      <c r="K13" s="334"/>
      <c r="L13" s="335" t="s">
        <v>222</v>
      </c>
      <c r="M13" s="336"/>
      <c r="N13" s="337"/>
      <c r="O13" s="334"/>
      <c r="P13" s="335" t="s">
        <v>222</v>
      </c>
      <c r="Q13" s="336"/>
      <c r="R13" s="337"/>
      <c r="S13" s="334"/>
      <c r="T13" s="335" t="s">
        <v>222</v>
      </c>
      <c r="U13" s="336"/>
      <c r="V13" s="337"/>
      <c r="W13" s="338">
        <f t="shared" si="0"/>
        <v>0</v>
      </c>
      <c r="X13" s="339"/>
      <c r="Y13" s="334">
        <f t="shared" si="2"/>
        <v>0</v>
      </c>
      <c r="Z13" s="335" t="s">
        <v>222</v>
      </c>
      <c r="AA13" s="340">
        <f t="shared" si="3"/>
        <v>0</v>
      </c>
      <c r="AB13" s="341">
        <f t="shared" si="4"/>
        <v>0</v>
      </c>
      <c r="AC13" s="210"/>
      <c r="AD13" s="211">
        <f t="shared" si="11"/>
        <v>117</v>
      </c>
      <c r="AE13" s="212">
        <f>IFERROR(INDEX(V!$R:$R,MATCH(AF13,V!$L:$L,0)),"")</f>
        <v>52</v>
      </c>
      <c r="AF13" s="213" t="str">
        <f t="shared" si="6"/>
        <v>Oliver Ojasalu</v>
      </c>
      <c r="AG13" s="212">
        <f>IFERROR(INDEX(V!$R:$R,MATCH(AH13,V!$L:$L,0)),"")</f>
        <v>65</v>
      </c>
      <c r="AH13" s="213" t="str">
        <f t="shared" si="1"/>
        <v>Tõnis Neiland</v>
      </c>
      <c r="AI13" s="212" t="str">
        <f>IFERROR(INDEX(V!$R:$R,MATCH(AJ13,V!$L:$L,0)),"")</f>
        <v/>
      </c>
      <c r="AJ13" s="213" t="str">
        <f t="shared" si="7"/>
        <v/>
      </c>
      <c r="AK13" s="212" t="str">
        <f>IFERROR(INDEX(V!$R:$R,MATCH(AL13,V!$L:$L,0)),"")</f>
        <v/>
      </c>
      <c r="AL13" s="213" t="str">
        <f t="shared" si="8"/>
        <v/>
      </c>
      <c r="AM13" s="212" t="str">
        <f>IFERROR(INDEX(V!$R:$R,MATCH(AN13,V!$L:$L,0)),"")</f>
        <v/>
      </c>
      <c r="AN13" s="213" t="str">
        <f t="shared" si="9"/>
        <v/>
      </c>
      <c r="AO13" s="212" t="str">
        <f>IFERROR(INDEX(V!$R:$R,MATCH(AP13,V!$L:$L,0)),"")</f>
        <v/>
      </c>
      <c r="AP13" s="213" t="str">
        <f t="shared" si="10"/>
        <v/>
      </c>
    </row>
    <row r="14" spans="1:42" x14ac:dyDescent="0.2">
      <c r="A14" s="333">
        <v>8</v>
      </c>
      <c r="B14" s="342" t="s">
        <v>227</v>
      </c>
      <c r="C14" s="334"/>
      <c r="D14" s="335" t="s">
        <v>222</v>
      </c>
      <c r="E14" s="336"/>
      <c r="F14" s="337"/>
      <c r="G14" s="334"/>
      <c r="H14" s="335" t="s">
        <v>222</v>
      </c>
      <c r="I14" s="336"/>
      <c r="J14" s="337"/>
      <c r="K14" s="334"/>
      <c r="L14" s="335" t="s">
        <v>222</v>
      </c>
      <c r="M14" s="336"/>
      <c r="N14" s="337"/>
      <c r="O14" s="334"/>
      <c r="P14" s="335" t="s">
        <v>222</v>
      </c>
      <c r="Q14" s="336"/>
      <c r="R14" s="337"/>
      <c r="S14" s="334"/>
      <c r="T14" s="335" t="s">
        <v>222</v>
      </c>
      <c r="U14" s="336"/>
      <c r="V14" s="337"/>
      <c r="W14" s="338">
        <f t="shared" si="0"/>
        <v>0</v>
      </c>
      <c r="X14" s="339"/>
      <c r="Y14" s="334">
        <f t="shared" si="2"/>
        <v>0</v>
      </c>
      <c r="Z14" s="335" t="s">
        <v>222</v>
      </c>
      <c r="AA14" s="340">
        <f t="shared" si="3"/>
        <v>0</v>
      </c>
      <c r="AB14" s="341">
        <f t="shared" si="4"/>
        <v>0</v>
      </c>
      <c r="AC14" s="210"/>
      <c r="AD14" s="211">
        <f t="shared" si="11"/>
        <v>232</v>
      </c>
      <c r="AE14" s="212">
        <f>IFERROR(INDEX(V!$R:$R,MATCH(AF14,V!$L:$L,0)),"")</f>
        <v>115</v>
      </c>
      <c r="AF14" s="213" t="str">
        <f t="shared" si="6"/>
        <v>Oksana Rõndenkova</v>
      </c>
      <c r="AG14" s="212">
        <f>IFERROR(INDEX(V!$R:$R,MATCH(AH14,V!$L:$L,0)),"")</f>
        <v>117</v>
      </c>
      <c r="AH14" s="213" t="str">
        <f t="shared" si="1"/>
        <v>Oleg Rõndenkov</v>
      </c>
      <c r="AI14" s="212" t="str">
        <f>IFERROR(INDEX(V!$R:$R,MATCH(AJ14,V!$L:$L,0)),"")</f>
        <v/>
      </c>
      <c r="AJ14" s="213" t="str">
        <f t="shared" si="7"/>
        <v/>
      </c>
      <c r="AK14" s="212" t="str">
        <f>IFERROR(INDEX(V!$R:$R,MATCH(AL14,V!$L:$L,0)),"")</f>
        <v/>
      </c>
      <c r="AL14" s="213" t="str">
        <f t="shared" si="8"/>
        <v/>
      </c>
      <c r="AM14" s="212" t="str">
        <f>IFERROR(INDEX(V!$R:$R,MATCH(AN14,V!$L:$L,0)),"")</f>
        <v/>
      </c>
      <c r="AN14" s="213" t="str">
        <f t="shared" si="9"/>
        <v/>
      </c>
      <c r="AO14" s="212" t="str">
        <f>IFERROR(INDEX(V!$R:$R,MATCH(AP14,V!$L:$L,0)),"")</f>
        <v/>
      </c>
      <c r="AP14" s="213" t="str">
        <f t="shared" si="10"/>
        <v/>
      </c>
    </row>
    <row r="15" spans="1:42" x14ac:dyDescent="0.2">
      <c r="A15" s="333">
        <v>9</v>
      </c>
      <c r="B15" s="255" t="s">
        <v>261</v>
      </c>
      <c r="C15" s="334"/>
      <c r="D15" s="335" t="s">
        <v>222</v>
      </c>
      <c r="E15" s="336"/>
      <c r="F15" s="337"/>
      <c r="G15" s="334"/>
      <c r="H15" s="335" t="s">
        <v>222</v>
      </c>
      <c r="I15" s="336"/>
      <c r="J15" s="337"/>
      <c r="K15" s="334"/>
      <c r="L15" s="335" t="s">
        <v>222</v>
      </c>
      <c r="M15" s="336"/>
      <c r="N15" s="337"/>
      <c r="O15" s="334"/>
      <c r="P15" s="335" t="s">
        <v>222</v>
      </c>
      <c r="Q15" s="336"/>
      <c r="R15" s="337"/>
      <c r="S15" s="334"/>
      <c r="T15" s="335" t="s">
        <v>222</v>
      </c>
      <c r="U15" s="336"/>
      <c r="V15" s="337"/>
      <c r="W15" s="338">
        <f t="shared" ref="W15" si="12">IF(C15&gt;E15,W$2,IF(C15&lt;E15,W$4,IF(ISNUMBER(C15),W$3,0)))+IF(G15&gt;I15,W$2,IF(G15&lt;I15,W$4,IF(ISNUMBER(G15),W$3,0)))+IF(K15&gt;M15,W$2,IF(K15&lt;M15,W$4,IF(ISNUMBER(K15),W$3,0)))+IF(O15&gt;Q15,W$2,IF(O15&lt;Q15,W$4,IF(ISNUMBER(O15),W$3,0)))+IF(S15&gt;U15,W$2,IF(S15&lt;U15,W$4,IF(ISNUMBER(S15),W$3,0)))</f>
        <v>0</v>
      </c>
      <c r="X15" s="339"/>
      <c r="Y15" s="334">
        <f t="shared" ref="Y15" si="13">C15+G15+K15+O15+S15</f>
        <v>0</v>
      </c>
      <c r="Z15" s="335" t="s">
        <v>222</v>
      </c>
      <c r="AA15" s="340">
        <f t="shared" ref="AA15" si="14">E15+I15+M15+Q15+U15</f>
        <v>0</v>
      </c>
      <c r="AB15" s="341">
        <f t="shared" ref="AB15" si="15">Y15-AA15</f>
        <v>0</v>
      </c>
      <c r="AC15" s="210"/>
      <c r="AD15" s="211">
        <f t="shared" ref="AD15" si="16">SUM(AE15:AL15)</f>
        <v>106</v>
      </c>
      <c r="AE15" s="212">
        <f>IFERROR(INDEX(V!$R:$R,MATCH(AF15,V!$L:$L,0)),"")</f>
        <v>53</v>
      </c>
      <c r="AF15" s="213" t="str">
        <f t="shared" si="6"/>
        <v>Lemmit Toomra</v>
      </c>
      <c r="AG15" s="212">
        <f>IFERROR(INDEX(V!$R:$R,MATCH(AH15,V!$L:$L,0)),"")</f>
        <v>53</v>
      </c>
      <c r="AH15" s="213" t="str">
        <f t="shared" si="1"/>
        <v>Tõnu Kapper</v>
      </c>
      <c r="AI15" s="212" t="str">
        <f>IFERROR(INDEX(V!$R:$R,MATCH(AJ15,V!$L:$L,0)),"")</f>
        <v/>
      </c>
      <c r="AJ15" s="213" t="str">
        <f t="shared" si="7"/>
        <v/>
      </c>
      <c r="AK15" s="212" t="str">
        <f>IFERROR(INDEX(V!$R:$R,MATCH(AL15,V!$L:$L,0)),"")</f>
        <v/>
      </c>
      <c r="AL15" s="213" t="str">
        <f t="shared" si="8"/>
        <v/>
      </c>
      <c r="AM15" s="212" t="str">
        <f>IFERROR(INDEX(V!$R:$R,MATCH(AN15,V!$L:$L,0)),"")</f>
        <v/>
      </c>
      <c r="AN15" s="213" t="str">
        <f t="shared" si="9"/>
        <v/>
      </c>
      <c r="AO15" s="212" t="str">
        <f>IFERROR(INDEX(V!$R:$R,MATCH(AP15,V!$L:$L,0)),"")</f>
        <v/>
      </c>
      <c r="AP15" s="213" t="str">
        <f t="shared" si="10"/>
        <v/>
      </c>
    </row>
    <row r="16" spans="1:42" x14ac:dyDescent="0.2">
      <c r="A16" s="333">
        <v>10</v>
      </c>
      <c r="B16" s="308" t="s">
        <v>214</v>
      </c>
      <c r="C16" s="334"/>
      <c r="D16" s="335" t="s">
        <v>222</v>
      </c>
      <c r="E16" s="336"/>
      <c r="F16" s="337"/>
      <c r="G16" s="334"/>
      <c r="H16" s="335" t="s">
        <v>222</v>
      </c>
      <c r="I16" s="336"/>
      <c r="J16" s="337"/>
      <c r="K16" s="334"/>
      <c r="L16" s="335" t="s">
        <v>222</v>
      </c>
      <c r="M16" s="336"/>
      <c r="N16" s="337"/>
      <c r="O16" s="334"/>
      <c r="P16" s="335" t="s">
        <v>222</v>
      </c>
      <c r="Q16" s="336"/>
      <c r="R16" s="337"/>
      <c r="S16" s="334"/>
      <c r="T16" s="335" t="s">
        <v>222</v>
      </c>
      <c r="U16" s="336"/>
      <c r="V16" s="337"/>
      <c r="W16" s="338">
        <f t="shared" si="0"/>
        <v>0</v>
      </c>
      <c r="X16" s="339"/>
      <c r="Y16" s="334">
        <f t="shared" si="2"/>
        <v>0</v>
      </c>
      <c r="Z16" s="335" t="s">
        <v>222</v>
      </c>
      <c r="AA16" s="340">
        <f t="shared" si="3"/>
        <v>0</v>
      </c>
      <c r="AB16" s="341">
        <f t="shared" si="4"/>
        <v>0</v>
      </c>
      <c r="AC16" s="210"/>
      <c r="AD16" s="211">
        <f t="shared" si="11"/>
        <v>71</v>
      </c>
      <c r="AE16" s="212">
        <f>IFERROR(INDEX(V!$R:$R,MATCH(AF16,V!$L:$L,0)),"")</f>
        <v>31</v>
      </c>
      <c r="AF16" s="213" t="str">
        <f t="shared" si="6"/>
        <v>Ljudmila Varendi</v>
      </c>
      <c r="AG16" s="212">
        <f>IFERROR(INDEX(V!$R:$R,MATCH(AH16,V!$L:$L,0)),"")</f>
        <v>40</v>
      </c>
      <c r="AH16" s="213" t="str">
        <f>IFERROR(MID($B16,FIND(", ",$B16)+2,2146),"")</f>
        <v>Viktor Švarõgin</v>
      </c>
      <c r="AI16" s="212" t="str">
        <f>IFERROR(INDEX(V!$R:$R,MATCH(AJ16,V!$L:$L,0)),"")</f>
        <v/>
      </c>
      <c r="AJ16" s="213" t="str">
        <f t="shared" si="7"/>
        <v/>
      </c>
      <c r="AK16" s="212" t="str">
        <f>IFERROR(INDEX(V!$R:$R,MATCH(AL16,V!$L:$L,0)),"")</f>
        <v/>
      </c>
      <c r="AL16" s="213" t="str">
        <f t="shared" si="8"/>
        <v/>
      </c>
      <c r="AM16" s="212" t="str">
        <f>IFERROR(INDEX(V!$R:$R,MATCH(AN16,V!$L:$L,0)),"")</f>
        <v/>
      </c>
      <c r="AN16" s="213" t="str">
        <f t="shared" si="9"/>
        <v/>
      </c>
      <c r="AO16" s="212" t="str">
        <f>IFERROR(INDEX(V!$R:$R,MATCH(AP16,V!$L:$L,0)),"")</f>
        <v/>
      </c>
      <c r="AP16" s="213" t="str">
        <f t="shared" si="10"/>
        <v/>
      </c>
    </row>
    <row r="17" spans="1:42" x14ac:dyDescent="0.2">
      <c r="A17" s="333">
        <v>11</v>
      </c>
      <c r="B17" s="342" t="s">
        <v>272</v>
      </c>
      <c r="C17" s="334"/>
      <c r="D17" s="335" t="s">
        <v>222</v>
      </c>
      <c r="E17" s="336"/>
      <c r="F17" s="337"/>
      <c r="G17" s="334"/>
      <c r="H17" s="335" t="s">
        <v>222</v>
      </c>
      <c r="I17" s="336"/>
      <c r="J17" s="337"/>
      <c r="K17" s="334"/>
      <c r="L17" s="335" t="s">
        <v>222</v>
      </c>
      <c r="M17" s="336"/>
      <c r="N17" s="337"/>
      <c r="O17" s="334"/>
      <c r="P17" s="335" t="s">
        <v>222</v>
      </c>
      <c r="Q17" s="336"/>
      <c r="R17" s="337"/>
      <c r="S17" s="334"/>
      <c r="T17" s="335" t="s">
        <v>222</v>
      </c>
      <c r="U17" s="336"/>
      <c r="V17" s="337"/>
      <c r="W17" s="338">
        <f t="shared" si="0"/>
        <v>0</v>
      </c>
      <c r="X17" s="339"/>
      <c r="Y17" s="334">
        <f t="shared" si="2"/>
        <v>0</v>
      </c>
      <c r="Z17" s="335" t="s">
        <v>222</v>
      </c>
      <c r="AA17" s="340">
        <f t="shared" si="3"/>
        <v>0</v>
      </c>
      <c r="AB17" s="341">
        <f t="shared" si="4"/>
        <v>0</v>
      </c>
      <c r="AC17" s="210"/>
      <c r="AD17" s="211">
        <f t="shared" si="11"/>
        <v>41</v>
      </c>
      <c r="AE17" s="212">
        <f>IFERROR(INDEX(V!$R:$R,MATCH(AF17,V!$L:$L,0)),"")</f>
        <v>25</v>
      </c>
      <c r="AF17" s="213" t="str">
        <f t="shared" si="6"/>
        <v>Illar Tõnurist</v>
      </c>
      <c r="AG17" s="212">
        <f>IFERROR(INDEX(V!$R:$R,MATCH(AH17,V!$L:$L,0)),"")</f>
        <v>16</v>
      </c>
      <c r="AH17" s="213" t="str">
        <f>IFERROR(MID($B17,FIND(", ",$B17)+2,2146),"")</f>
        <v>Tarmo Bombe</v>
      </c>
      <c r="AI17" s="212" t="str">
        <f>IFERROR(INDEX(V!$R:$R,MATCH(AJ17,V!$L:$L,0)),"")</f>
        <v/>
      </c>
      <c r="AJ17" s="213" t="str">
        <f t="shared" si="7"/>
        <v/>
      </c>
      <c r="AK17" s="212" t="str">
        <f>IFERROR(INDEX(V!$R:$R,MATCH(AL17,V!$L:$L,0)),"")</f>
        <v/>
      </c>
      <c r="AL17" s="213" t="str">
        <f t="shared" si="8"/>
        <v/>
      </c>
      <c r="AM17" s="212" t="str">
        <f>IFERROR(INDEX(V!$R:$R,MATCH(AN17,V!$L:$L,0)),"")</f>
        <v/>
      </c>
      <c r="AN17" s="213" t="str">
        <f t="shared" si="9"/>
        <v/>
      </c>
      <c r="AO17" s="212" t="str">
        <f>IFERROR(INDEX(V!$R:$R,MATCH(AP17,V!$L:$L,0)),"")</f>
        <v/>
      </c>
      <c r="AP17" s="213" t="str">
        <f t="shared" si="10"/>
        <v/>
      </c>
    </row>
    <row r="18" spans="1:42" x14ac:dyDescent="0.2">
      <c r="A18" s="333">
        <v>12</v>
      </c>
      <c r="B18" s="308" t="s">
        <v>273</v>
      </c>
      <c r="C18" s="334"/>
      <c r="D18" s="335" t="s">
        <v>222</v>
      </c>
      <c r="E18" s="336"/>
      <c r="F18" s="337"/>
      <c r="G18" s="334"/>
      <c r="H18" s="335" t="s">
        <v>222</v>
      </c>
      <c r="I18" s="336"/>
      <c r="J18" s="337"/>
      <c r="K18" s="334"/>
      <c r="L18" s="335" t="s">
        <v>222</v>
      </c>
      <c r="M18" s="336"/>
      <c r="N18" s="337"/>
      <c r="O18" s="334"/>
      <c r="P18" s="335" t="s">
        <v>222</v>
      </c>
      <c r="Q18" s="336"/>
      <c r="R18" s="337"/>
      <c r="S18" s="334"/>
      <c r="T18" s="335" t="s">
        <v>222</v>
      </c>
      <c r="U18" s="336"/>
      <c r="V18" s="337"/>
      <c r="W18" s="338">
        <f t="shared" si="0"/>
        <v>0</v>
      </c>
      <c r="X18" s="339"/>
      <c r="Y18" s="334">
        <f t="shared" si="2"/>
        <v>0</v>
      </c>
      <c r="Z18" s="335" t="s">
        <v>222</v>
      </c>
      <c r="AA18" s="340">
        <f t="shared" si="3"/>
        <v>0</v>
      </c>
      <c r="AB18" s="341">
        <f t="shared" si="4"/>
        <v>0</v>
      </c>
      <c r="AC18" s="210"/>
      <c r="AD18" s="211">
        <f t="shared" si="11"/>
        <v>67</v>
      </c>
      <c r="AE18" s="212">
        <f>IFERROR(INDEX(V!$R:$R,MATCH(AF18,V!$L:$L,0)),"")</f>
        <v>25</v>
      </c>
      <c r="AF18" s="213" t="str">
        <f t="shared" si="6"/>
        <v>Airi Veski</v>
      </c>
      <c r="AG18" s="212">
        <f>IFERROR(INDEX(V!$R:$R,MATCH(AH18,V!$L:$L,0)),"")</f>
        <v>42</v>
      </c>
      <c r="AH18" s="213" t="str">
        <f>IFERROR(MID($B18,FIND(", ",$B18)+2,2146),"")</f>
        <v>Andres Veski</v>
      </c>
      <c r="AI18" s="212" t="str">
        <f>IFERROR(INDEX(V!$R:$R,MATCH(AJ18,V!$L:$L,0)),"")</f>
        <v/>
      </c>
      <c r="AJ18" s="213" t="str">
        <f t="shared" si="7"/>
        <v/>
      </c>
      <c r="AK18" s="212" t="str">
        <f>IFERROR(INDEX(V!$R:$R,MATCH(AL18,V!$L:$L,0)),"")</f>
        <v/>
      </c>
      <c r="AL18" s="213" t="str">
        <f t="shared" si="8"/>
        <v/>
      </c>
      <c r="AM18" s="212" t="str">
        <f>IFERROR(INDEX(V!$R:$R,MATCH(AN18,V!$L:$L,0)),"")</f>
        <v/>
      </c>
      <c r="AN18" s="213" t="str">
        <f t="shared" si="9"/>
        <v/>
      </c>
      <c r="AO18" s="212" t="str">
        <f>IFERROR(INDEX(V!$R:$R,MATCH(AP18,V!$L:$L,0)),"")</f>
        <v/>
      </c>
      <c r="AP18" s="213" t="str">
        <f t="shared" si="10"/>
        <v/>
      </c>
    </row>
    <row r="20" spans="1:42" hidden="1" x14ac:dyDescent="0.2"/>
    <row r="21" spans="1:42" hidden="1" x14ac:dyDescent="0.2"/>
    <row r="22" spans="1:42" hidden="1" x14ac:dyDescent="0.2"/>
    <row r="23" spans="1:42" hidden="1" x14ac:dyDescent="0.2"/>
    <row r="24" spans="1:42" hidden="1" x14ac:dyDescent="0.2"/>
    <row r="25" spans="1:42" hidden="1" x14ac:dyDescent="0.2"/>
    <row r="26" spans="1:42" hidden="1" x14ac:dyDescent="0.2"/>
    <row r="27" spans="1:42" hidden="1" x14ac:dyDescent="0.2"/>
    <row r="28" spans="1:42" hidden="1" x14ac:dyDescent="0.2"/>
    <row r="29" spans="1:42" hidden="1" x14ac:dyDescent="0.2"/>
    <row r="30" spans="1:42" hidden="1" x14ac:dyDescent="0.2"/>
    <row r="31" spans="1:42" hidden="1" x14ac:dyDescent="0.2"/>
    <row r="32" spans="1:4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7" spans="1:6" hidden="1" x14ac:dyDescent="0.2"/>
    <row r="299" spans="1:6" x14ac:dyDescent="0.2">
      <c r="A299" s="157"/>
      <c r="B299" s="157"/>
      <c r="C299" s="207" t="s">
        <v>190</v>
      </c>
      <c r="F299" s="724" t="s">
        <v>79</v>
      </c>
    </row>
    <row r="300" spans="1:6" x14ac:dyDescent="0.2">
      <c r="A300" s="301">
        <v>1</v>
      </c>
      <c r="B300" s="344" t="str">
        <f>IFERROR(INDEX(B$1:B$100,MATCH(A300,A$1:A$100,0)),"")</f>
        <v>Hillar Neiland, Jaan Saar</v>
      </c>
      <c r="C300" s="274">
        <f>LARGE(A300:A400,1)*2+2-A300*2</f>
        <v>24</v>
      </c>
      <c r="F300" s="724">
        <v>3</v>
      </c>
    </row>
    <row r="301" spans="1:6" x14ac:dyDescent="0.2">
      <c r="A301" s="301">
        <v>2</v>
      </c>
      <c r="B301" s="344" t="str">
        <f t="shared" ref="B301:B311" si="17">IFERROR(INDEX(B$1:B$100,MATCH(A301,A$1:A$100,0)),"")</f>
        <v>Henri Mitt, Urmas Randlaine</v>
      </c>
      <c r="C301" s="274">
        <f t="shared" ref="C301:C311" si="18">LARGE(A301:A401,1)*2+2-A301*2</f>
        <v>22</v>
      </c>
      <c r="F301" s="724">
        <v>3</v>
      </c>
    </row>
    <row r="302" spans="1:6" x14ac:dyDescent="0.2">
      <c r="A302" s="301">
        <v>3</v>
      </c>
      <c r="B302" s="344" t="str">
        <f t="shared" si="17"/>
        <v>Enn Tokman, Kenneth Muusikus</v>
      </c>
      <c r="C302" s="274">
        <f t="shared" si="18"/>
        <v>20</v>
      </c>
      <c r="F302" s="724">
        <v>3</v>
      </c>
    </row>
    <row r="303" spans="1:6" x14ac:dyDescent="0.2">
      <c r="A303" s="301">
        <v>4</v>
      </c>
      <c r="B303" s="344" t="str">
        <f t="shared" si="17"/>
        <v>Kaspar Mänd, Sirje Maala</v>
      </c>
      <c r="C303" s="274">
        <f t="shared" si="18"/>
        <v>18</v>
      </c>
      <c r="F303" s="724">
        <v>3</v>
      </c>
    </row>
    <row r="304" spans="1:6" x14ac:dyDescent="0.2">
      <c r="A304" s="301">
        <v>5</v>
      </c>
      <c r="B304" s="344" t="str">
        <f t="shared" si="17"/>
        <v>Aleksander Korikov, Jevgeni Korikov</v>
      </c>
      <c r="C304" s="274">
        <f t="shared" si="18"/>
        <v>16</v>
      </c>
      <c r="F304" s="724">
        <v>2</v>
      </c>
    </row>
    <row r="305" spans="1:6" x14ac:dyDescent="0.2">
      <c r="A305" s="301">
        <v>6</v>
      </c>
      <c r="B305" s="344" t="str">
        <f t="shared" si="17"/>
        <v>Jaan Sepp, Oskar Sepp</v>
      </c>
      <c r="C305" s="274">
        <f t="shared" si="18"/>
        <v>14</v>
      </c>
      <c r="F305" s="724">
        <v>2</v>
      </c>
    </row>
    <row r="306" spans="1:6" x14ac:dyDescent="0.2">
      <c r="A306" s="301">
        <v>7</v>
      </c>
      <c r="B306" s="344" t="str">
        <f t="shared" si="17"/>
        <v>Oliver Ojasalu, Tõnis Neiland</v>
      </c>
      <c r="C306" s="274">
        <f t="shared" si="18"/>
        <v>12</v>
      </c>
      <c r="F306" s="724">
        <v>2</v>
      </c>
    </row>
    <row r="307" spans="1:6" x14ac:dyDescent="0.2">
      <c r="A307" s="301">
        <v>8</v>
      </c>
      <c r="B307" s="344" t="str">
        <f t="shared" si="17"/>
        <v>Oksana Rõndenkova, Oleg Rõndenkov</v>
      </c>
      <c r="C307" s="274">
        <f t="shared" si="18"/>
        <v>10</v>
      </c>
      <c r="F307" s="724">
        <v>2</v>
      </c>
    </row>
    <row r="308" spans="1:6" x14ac:dyDescent="0.2">
      <c r="A308" s="301">
        <v>9</v>
      </c>
      <c r="B308" s="344" t="str">
        <f t="shared" si="17"/>
        <v>Lemmit Toomra, Tõnu Kapper</v>
      </c>
      <c r="C308" s="274">
        <f t="shared" si="18"/>
        <v>8</v>
      </c>
      <c r="F308" s="724">
        <v>2</v>
      </c>
    </row>
    <row r="309" spans="1:6" x14ac:dyDescent="0.2">
      <c r="A309" s="301">
        <v>10</v>
      </c>
      <c r="B309" s="344" t="str">
        <f t="shared" si="17"/>
        <v>Ljudmila Varendi, Viktor Švarõgin</v>
      </c>
      <c r="C309" s="274">
        <f t="shared" si="18"/>
        <v>6</v>
      </c>
      <c r="F309" s="724">
        <v>1</v>
      </c>
    </row>
    <row r="310" spans="1:6" x14ac:dyDescent="0.2">
      <c r="A310" s="301">
        <v>11</v>
      </c>
      <c r="B310" s="344" t="str">
        <f t="shared" si="17"/>
        <v>Illar Tõnurist, Tarmo Bombe</v>
      </c>
      <c r="C310" s="274">
        <f t="shared" si="18"/>
        <v>4</v>
      </c>
      <c r="F310" s="724">
        <v>1</v>
      </c>
    </row>
    <row r="311" spans="1:6" x14ac:dyDescent="0.2">
      <c r="A311" s="301">
        <v>12</v>
      </c>
      <c r="B311" s="344" t="str">
        <f t="shared" si="17"/>
        <v>Airi Veski, Andres Veski</v>
      </c>
      <c r="C311" s="274">
        <f t="shared" si="18"/>
        <v>2</v>
      </c>
      <c r="F311" s="724">
        <v>0</v>
      </c>
    </row>
  </sheetData>
  <conditionalFormatting sqref="G7:G18 K7:K18 O7:O18 S7:S18">
    <cfRule type="expression" dxfId="716" priority="28">
      <formula>AND(G7=0,I7=13)</formula>
    </cfRule>
  </conditionalFormatting>
  <conditionalFormatting sqref="E7:E18">
    <cfRule type="expression" dxfId="715" priority="43">
      <formula>IF($C7&lt;$E7,TRUE)</formula>
    </cfRule>
  </conditionalFormatting>
  <conditionalFormatting sqref="K7:K18">
    <cfRule type="expression" dxfId="714" priority="50">
      <formula>IF($K7&gt;$M7,TRUE)</formula>
    </cfRule>
  </conditionalFormatting>
  <conditionalFormatting sqref="M7:M18">
    <cfRule type="expression" dxfId="713" priority="51">
      <formula>IF($K7&lt;$M7,TRUE)</formula>
    </cfRule>
  </conditionalFormatting>
  <conditionalFormatting sqref="O7:O18">
    <cfRule type="expression" dxfId="712" priority="54">
      <formula>IF($O7&gt;$Q7,TRUE)</formula>
    </cfRule>
  </conditionalFormatting>
  <conditionalFormatting sqref="Q7:Q18">
    <cfRule type="expression" dxfId="711" priority="55">
      <formula>IF($O7&lt;$Q7,TRUE)</formula>
    </cfRule>
  </conditionalFormatting>
  <conditionalFormatting sqref="S7:S18">
    <cfRule type="expression" dxfId="710" priority="58">
      <formula>IF($S7&gt;$U7,TRUE)</formula>
    </cfRule>
  </conditionalFormatting>
  <conditionalFormatting sqref="U7:U18">
    <cfRule type="expression" dxfId="709" priority="59">
      <formula>IF($S7&lt;$U7,TRUE)</formula>
    </cfRule>
  </conditionalFormatting>
  <conditionalFormatting sqref="G7:G18">
    <cfRule type="expression" dxfId="708" priority="46">
      <formula>IF($G7&gt;$I7,TRUE)</formula>
    </cfRule>
  </conditionalFormatting>
  <conditionalFormatting sqref="I7:I18">
    <cfRule type="expression" dxfId="707" priority="47">
      <formula>IF($G7&lt;$I7,TRUE)</formula>
    </cfRule>
  </conditionalFormatting>
  <conditionalFormatting sqref="F7:F18">
    <cfRule type="containsText" dxfId="706" priority="33" operator="containsText" text="vaba voor">
      <formula>NOT(ISERROR(SEARCH("vaba voor",F7)))</formula>
    </cfRule>
  </conditionalFormatting>
  <conditionalFormatting sqref="N7:N18">
    <cfRule type="containsText" dxfId="705" priority="31" operator="containsText" text="vaba voor">
      <formula>NOT(ISERROR(SEARCH("vaba voor",N7)))</formula>
    </cfRule>
  </conditionalFormatting>
  <conditionalFormatting sqref="R7:R18">
    <cfRule type="containsText" dxfId="704" priority="34" operator="containsText" text="vaba voor">
      <formula>NOT(ISERROR(SEARCH("vaba voor",R7)))</formula>
    </cfRule>
  </conditionalFormatting>
  <conditionalFormatting sqref="V7:V18">
    <cfRule type="containsText" dxfId="703" priority="30" operator="containsText" text="vaba voor">
      <formula>NOT(ISERROR(SEARCH("vaba voor",V7)))</formula>
    </cfRule>
  </conditionalFormatting>
  <conditionalFormatting sqref="J7:J18">
    <cfRule type="containsText" dxfId="702" priority="32" operator="containsText" text="vaba voor">
      <formula>NOT(ISERROR(SEARCH("vaba voor",J7)))</formula>
    </cfRule>
  </conditionalFormatting>
  <conditionalFormatting sqref="E7:F18">
    <cfRule type="expression" dxfId="701" priority="38">
      <formula>IF(AND(ISNUMBER($C7),$C7=$E7),TRUE)</formula>
    </cfRule>
    <cfRule type="expression" dxfId="700" priority="40">
      <formula>IF($C7&gt;$E7,TRUE)</formula>
    </cfRule>
    <cfRule type="expression" dxfId="699" priority="41">
      <formula>IF($C7&lt;$E7,TRUE)</formula>
    </cfRule>
  </conditionalFormatting>
  <conditionalFormatting sqref="G7:J18">
    <cfRule type="expression" dxfId="698" priority="39">
      <formula>IF(AND(ISNUMBER($G7),$G7=$I7),TRUE)</formula>
    </cfRule>
    <cfRule type="expression" dxfId="697" priority="44">
      <formula>IF($G7&gt;$I7,TRUE)</formula>
    </cfRule>
    <cfRule type="expression" dxfId="696" priority="45">
      <formula>IF($G7&lt;$I7,TRUE)</formula>
    </cfRule>
  </conditionalFormatting>
  <conditionalFormatting sqref="K7:N18">
    <cfRule type="expression" dxfId="695" priority="37">
      <formula>IF(AND(ISNUMBER($K7),$K7=$M7),TRUE)</formula>
    </cfRule>
    <cfRule type="expression" dxfId="694" priority="48">
      <formula>IF($K7&gt;$M7,TRUE)</formula>
    </cfRule>
    <cfRule type="expression" dxfId="693" priority="49">
      <formula>IF($K7&lt;$M7,TRUE)</formula>
    </cfRule>
  </conditionalFormatting>
  <conditionalFormatting sqref="O7:R18">
    <cfRule type="expression" dxfId="692" priority="36">
      <formula>IF(AND(ISNUMBER($O7),$O7=$Q7),TRUE)</formula>
    </cfRule>
    <cfRule type="expression" dxfId="691" priority="52">
      <formula>IF($O7&gt;$Q7,TRUE)</formula>
    </cfRule>
    <cfRule type="expression" dxfId="690" priority="53">
      <formula>IF($O7&lt;$Q7,TRUE)</formula>
    </cfRule>
  </conditionalFormatting>
  <conditionalFormatting sqref="S7:V18">
    <cfRule type="expression" dxfId="689" priority="35">
      <formula>IF(AND(ISNUMBER($S7),$S7=$U7),TRUE)</formula>
    </cfRule>
    <cfRule type="expression" dxfId="688" priority="56">
      <formula>IF($S7&gt;$U7,TRUE)</formula>
    </cfRule>
    <cfRule type="expression" dxfId="687" priority="57">
      <formula>IF($S7&lt;$U7,TRUE)</formula>
    </cfRule>
  </conditionalFormatting>
  <conditionalFormatting sqref="E7:E18 I7:I18 M7:M18 Q7:Q18 U7:U18">
    <cfRule type="expression" dxfId="686" priority="29">
      <formula>AND(E7=0,C7=13)</formula>
    </cfRule>
  </conditionalFormatting>
  <conditionalFormatting sqref="A7:A18">
    <cfRule type="duplicateValues" dxfId="685" priority="60"/>
  </conditionalFormatting>
  <conditionalFormatting sqref="AJ7:AJ18">
    <cfRule type="expression" dxfId="684" priority="10">
      <formula>AND(AI7="",FIND(",",AJ7))</formula>
    </cfRule>
    <cfRule type="expression" dxfId="683" priority="12">
      <formula>AND(AI7="",COUNTIF(AJ7,"*,*")=0)</formula>
    </cfRule>
  </conditionalFormatting>
  <conditionalFormatting sqref="AH7:AH18">
    <cfRule type="expression" dxfId="682" priority="13">
      <formula>AND(AG7="",FIND(",",AH7))</formula>
    </cfRule>
    <cfRule type="expression" dxfId="681" priority="14">
      <formula>AND(AG7="",COUNTIF(AH7,"*,*")=0)</formula>
    </cfRule>
  </conditionalFormatting>
  <conditionalFormatting sqref="AL7:AL18">
    <cfRule type="expression" dxfId="680" priority="15">
      <formula>AND(AK7="",FIND(",",AL7))</formula>
    </cfRule>
    <cfRule type="expression" dxfId="679" priority="16">
      <formula>AND(AK7="",COUNTIF(AL7,"*,*")=0)</formula>
    </cfRule>
  </conditionalFormatting>
  <conditionalFormatting sqref="AF7:AF18">
    <cfRule type="expression" dxfId="678" priority="11">
      <formula>AND(AE7="",COUNTIF(AF7,"*,*")=0)</formula>
    </cfRule>
  </conditionalFormatting>
  <conditionalFormatting sqref="AN7:AN18">
    <cfRule type="expression" dxfId="677" priority="7">
      <formula>AND(AM7="",COUNTIF(AN7,"*,*")=0)</formula>
    </cfRule>
    <cfRule type="expression" dxfId="676" priority="9">
      <formula>AND(AM7="",FIND(",",AN7))</formula>
    </cfRule>
  </conditionalFormatting>
  <conditionalFormatting sqref="AP7:AP18">
    <cfRule type="expression" dxfId="675" priority="6">
      <formula>AND(AO7="",COUNTIF(AP7,"*,*")=0)</formula>
    </cfRule>
    <cfRule type="expression" dxfId="674" priority="8">
      <formula>AND(AO7="",FIND(",",AP7))</formula>
    </cfRule>
  </conditionalFormatting>
  <conditionalFormatting sqref="B300:B311">
    <cfRule type="expression" dxfId="673" priority="1053">
      <formula>A300=3</formula>
    </cfRule>
    <cfRule type="expression" dxfId="672" priority="1054">
      <formula>A300=2</formula>
    </cfRule>
    <cfRule type="expression" dxfId="671" priority="1055">
      <formula>A300=1</formula>
    </cfRule>
    <cfRule type="containsBlanks" dxfId="670" priority="1056">
      <formula>LEN(TRIM(B300))=0</formula>
    </cfRule>
    <cfRule type="duplicateValues" dxfId="669" priority="1057"/>
  </conditionalFormatting>
  <conditionalFormatting sqref="C7:C18">
    <cfRule type="expression" dxfId="668" priority="1">
      <formula>AND(C7=0,E7=13)</formula>
    </cfRule>
  </conditionalFormatting>
  <conditionalFormatting sqref="C7:C18">
    <cfRule type="expression" dxfId="667" priority="5">
      <formula>IF($G7&gt;$I7,TRUE)</formula>
    </cfRule>
  </conditionalFormatting>
  <conditionalFormatting sqref="C7:D18">
    <cfRule type="expression" dxfId="666" priority="2">
      <formula>IF(AND(ISNUMBER($G7),$G7=$I7),TRUE)</formula>
    </cfRule>
    <cfRule type="expression" dxfId="665" priority="3">
      <formula>IF($G7&gt;$I7,TRUE)</formula>
    </cfRule>
    <cfRule type="expression" dxfId="664" priority="4">
      <formula>IF($G7&lt;$I7,TRUE)</formula>
    </cfRule>
  </conditionalFormatting>
  <pageMargins left="0.78740157480314965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P310"/>
  <sheetViews>
    <sheetView showGridLines="0" showRowColHeaders="0" workbookViewId="0">
      <pane ySplit="1" topLeftCell="A2" activePane="bottomLeft" state="frozen"/>
      <selection pane="bottomLeft" activeCell="A5" sqref="A5"/>
    </sheetView>
  </sheetViews>
  <sheetFormatPr defaultRowHeight="12.75" x14ac:dyDescent="0.2"/>
  <cols>
    <col min="1" max="1" width="3.28515625" style="1" customWidth="1"/>
    <col min="2" max="2" width="36.5703125" style="1" bestFit="1" customWidth="1"/>
    <col min="3" max="3" width="4.7109375" style="1" customWidth="1"/>
    <col min="4" max="4" width="1.140625" style="1" customWidth="1"/>
    <col min="5" max="5" width="2.7109375" style="1" customWidth="1"/>
    <col min="6" max="6" width="9.140625" style="1"/>
    <col min="7" max="7" width="2.7109375" style="1" customWidth="1"/>
    <col min="8" max="8" width="1.140625" style="1" customWidth="1"/>
    <col min="9" max="9" width="2.7109375" style="1" customWidth="1"/>
    <col min="10" max="10" width="9.140625" style="1"/>
    <col min="11" max="11" width="2.7109375" style="1" customWidth="1"/>
    <col min="12" max="12" width="1.140625" style="1" customWidth="1"/>
    <col min="13" max="13" width="2.7109375" style="1" customWidth="1"/>
    <col min="14" max="14" width="9.140625" style="1"/>
    <col min="15" max="15" width="2.7109375" style="1" customWidth="1"/>
    <col min="16" max="16" width="1.140625" style="1" customWidth="1"/>
    <col min="17" max="17" width="2.7109375" style="1" customWidth="1"/>
    <col min="18" max="18" width="9.140625" style="1"/>
    <col min="19" max="19" width="2.7109375" style="1" customWidth="1"/>
    <col min="20" max="20" width="1.140625" style="1" customWidth="1"/>
    <col min="21" max="21" width="2.7109375" style="1" customWidth="1"/>
    <col min="22" max="22" width="9.140625" style="1"/>
    <col min="23" max="23" width="5.7109375" style="1" bestFit="1" customWidth="1"/>
    <col min="24" max="24" width="5.5703125" style="1" hidden="1" customWidth="1"/>
    <col min="25" max="25" width="2.7109375" style="1" customWidth="1"/>
    <col min="26" max="26" width="1.140625" style="1" customWidth="1"/>
    <col min="27" max="27" width="2.7109375" style="1" customWidth="1"/>
    <col min="28" max="28" width="4.7109375" style="1" customWidth="1"/>
    <col min="29" max="29" width="9.140625" style="1"/>
    <col min="30" max="31" width="9.140625" style="1" hidden="1" customWidth="1"/>
    <col min="32" max="32" width="18.28515625" style="1" hidden="1" customWidth="1"/>
    <col min="33" max="33" width="9.140625" style="1" hidden="1" customWidth="1"/>
    <col min="34" max="34" width="16.5703125" style="1" hidden="1" customWidth="1"/>
    <col min="35" max="35" width="9.140625" style="1" hidden="1" customWidth="1"/>
    <col min="36" max="36" width="17.28515625" style="1" hidden="1" customWidth="1"/>
    <col min="37" max="37" width="9.140625" style="1" hidden="1" customWidth="1"/>
    <col min="38" max="38" width="13.85546875" style="1" hidden="1" customWidth="1"/>
    <col min="39" max="39" width="9.140625" style="1" hidden="1" customWidth="1"/>
    <col min="40" max="40" width="17.28515625" style="1" hidden="1" customWidth="1"/>
    <col min="41" max="41" width="9.140625" style="1" hidden="1" customWidth="1"/>
    <col min="42" max="42" width="13.85546875" style="1" hidden="1" customWidth="1"/>
    <col min="43" max="16384" width="9.140625" style="1"/>
  </cols>
  <sheetData>
    <row r="1" spans="1:42" x14ac:dyDescent="0.2">
      <c r="A1" s="206" t="str">
        <f>UPPER((Kalend!E15)&amp;" - "&amp;(Kalend!C15))&amp;" - "&amp;LOWER(Kalend!D15)&amp;" - "&amp;(Kalend!A15)&amp;" kell "&amp;(Kalend!B15)&amp;" - "&amp;(Kalend!F15)</f>
        <v>IV-D - IDA-VIRUMAA SISE-MV - duo - P, 16.01.2022 kell 11:00 - Voka petangihall</v>
      </c>
      <c r="O1" s="157"/>
      <c r="P1" s="157"/>
      <c r="Q1" s="187"/>
      <c r="R1" s="187"/>
      <c r="S1" s="187"/>
      <c r="T1" s="40"/>
      <c r="U1" s="40"/>
      <c r="V1" s="40"/>
      <c r="W1" s="157"/>
      <c r="X1" s="208"/>
      <c r="Y1" s="157"/>
      <c r="Z1" s="157"/>
      <c r="AD1" s="44" t="s">
        <v>71</v>
      </c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303"/>
      <c r="AP1" s="303"/>
    </row>
    <row r="2" spans="1:42" x14ac:dyDescent="0.2">
      <c r="A2" s="43"/>
      <c r="B2" s="43"/>
      <c r="C2" s="43"/>
      <c r="D2" s="43"/>
      <c r="E2" s="43"/>
      <c r="F2" s="157"/>
      <c r="G2" s="43"/>
      <c r="H2" s="43"/>
      <c r="I2" s="43"/>
      <c r="J2" s="43"/>
      <c r="K2" s="43"/>
      <c r="L2" s="214"/>
      <c r="M2" s="214"/>
      <c r="N2" s="214"/>
      <c r="O2" s="157"/>
      <c r="P2" s="157"/>
      <c r="Q2" s="157"/>
      <c r="R2" s="157"/>
      <c r="S2" s="43"/>
      <c r="T2" s="43"/>
      <c r="U2" s="43"/>
      <c r="V2" s="215" t="s">
        <v>195</v>
      </c>
      <c r="W2" s="216">
        <v>1</v>
      </c>
      <c r="X2" s="43"/>
      <c r="Y2" s="157" t="s">
        <v>196</v>
      </c>
      <c r="Z2" s="43"/>
      <c r="AA2" s="43"/>
      <c r="AB2" s="43"/>
      <c r="AD2" s="157"/>
      <c r="AE2" s="157"/>
      <c r="AF2" s="157"/>
      <c r="AG2" s="157"/>
      <c r="AH2" s="157"/>
      <c r="AI2" s="157"/>
      <c r="AJ2" s="217"/>
      <c r="AK2" s="157"/>
      <c r="AL2" s="157"/>
      <c r="AM2" s="157"/>
      <c r="AN2" s="157"/>
    </row>
    <row r="3" spans="1:42" x14ac:dyDescent="0.2">
      <c r="A3" s="43"/>
      <c r="B3" s="43"/>
      <c r="C3" s="43"/>
      <c r="D3" s="43"/>
      <c r="E3" s="43"/>
      <c r="F3" s="157"/>
      <c r="G3" s="43"/>
      <c r="H3" s="43"/>
      <c r="I3" s="43"/>
      <c r="J3" s="43"/>
      <c r="K3" s="43"/>
      <c r="L3" s="214"/>
      <c r="M3" s="214"/>
      <c r="N3" s="214"/>
      <c r="O3" s="157"/>
      <c r="P3" s="157"/>
      <c r="Q3" s="157"/>
      <c r="R3" s="157"/>
      <c r="S3" s="43"/>
      <c r="T3" s="43"/>
      <c r="U3" s="43"/>
      <c r="V3" s="218" t="s">
        <v>197</v>
      </c>
      <c r="W3" s="216">
        <v>0.5</v>
      </c>
      <c r="X3" s="43"/>
      <c r="Y3" s="157" t="s">
        <v>196</v>
      </c>
      <c r="Z3" s="43"/>
      <c r="AA3" s="43"/>
      <c r="AB3" s="43"/>
      <c r="AE3" s="157"/>
      <c r="AG3" s="157"/>
      <c r="AH3" s="157"/>
      <c r="AI3" s="157"/>
      <c r="AJ3" s="157"/>
      <c r="AK3" s="157"/>
      <c r="AL3" s="157"/>
      <c r="AM3" s="157"/>
      <c r="AN3" s="157"/>
    </row>
    <row r="4" spans="1:42" x14ac:dyDescent="0.2">
      <c r="A4" s="43"/>
      <c r="B4" s="43"/>
      <c r="C4" s="43"/>
      <c r="D4" s="43"/>
      <c r="E4" s="43"/>
      <c r="F4" s="157"/>
      <c r="G4" s="43"/>
      <c r="H4" s="43"/>
      <c r="I4" s="43"/>
      <c r="J4" s="43"/>
      <c r="K4" s="43"/>
      <c r="L4" s="157"/>
      <c r="M4" s="157"/>
      <c r="N4" s="157"/>
      <c r="O4" s="157"/>
      <c r="P4" s="157"/>
      <c r="Q4" s="157"/>
      <c r="R4" s="157"/>
      <c r="S4" s="43"/>
      <c r="T4" s="43"/>
      <c r="U4" s="43"/>
      <c r="V4" s="219" t="s">
        <v>198</v>
      </c>
      <c r="W4" s="216">
        <v>0</v>
      </c>
      <c r="X4" s="43"/>
      <c r="Y4" s="157" t="s">
        <v>196</v>
      </c>
      <c r="Z4" s="43"/>
      <c r="AA4" s="157"/>
      <c r="AB4" s="43"/>
      <c r="AE4" s="214"/>
      <c r="AF4" s="214"/>
      <c r="AG4" s="214"/>
      <c r="AH4" s="205"/>
      <c r="AI4" s="214"/>
      <c r="AJ4" s="214"/>
      <c r="AK4" s="214"/>
      <c r="AL4" s="214"/>
      <c r="AM4" s="214"/>
      <c r="AN4" s="214"/>
      <c r="AO4" s="214"/>
      <c r="AP4" s="214"/>
    </row>
    <row r="5" spans="1:42" x14ac:dyDescent="0.2">
      <c r="A5" s="43"/>
      <c r="B5" s="43"/>
      <c r="C5" s="43"/>
      <c r="D5" s="43"/>
      <c r="E5" s="43"/>
      <c r="F5" s="157"/>
      <c r="G5" s="43"/>
      <c r="H5" s="43"/>
      <c r="I5" s="43"/>
      <c r="J5" s="43"/>
      <c r="K5" s="43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363" t="s">
        <v>231</v>
      </c>
      <c r="AB5" s="43"/>
      <c r="AC5" s="157"/>
      <c r="AD5" s="360" t="s">
        <v>176</v>
      </c>
    </row>
    <row r="6" spans="1:42" x14ac:dyDescent="0.2">
      <c r="A6" s="326" t="s">
        <v>10</v>
      </c>
      <c r="B6" s="326" t="s">
        <v>58</v>
      </c>
      <c r="C6" s="327" t="s">
        <v>133</v>
      </c>
      <c r="D6" s="328"/>
      <c r="E6" s="328"/>
      <c r="F6" s="329"/>
      <c r="G6" s="327" t="s">
        <v>136</v>
      </c>
      <c r="H6" s="328"/>
      <c r="I6" s="328"/>
      <c r="J6" s="329"/>
      <c r="K6" s="327" t="s">
        <v>139</v>
      </c>
      <c r="L6" s="328"/>
      <c r="M6" s="328"/>
      <c r="N6" s="329"/>
      <c r="O6" s="327" t="s">
        <v>142</v>
      </c>
      <c r="P6" s="328"/>
      <c r="Q6" s="328"/>
      <c r="R6" s="329"/>
      <c r="S6" s="327" t="s">
        <v>144</v>
      </c>
      <c r="T6" s="328"/>
      <c r="U6" s="328"/>
      <c r="V6" s="329"/>
      <c r="W6" s="326" t="s">
        <v>79</v>
      </c>
      <c r="X6" s="330" t="s">
        <v>220</v>
      </c>
      <c r="Y6" s="330"/>
      <c r="Z6" s="331" t="s">
        <v>221</v>
      </c>
      <c r="AA6" s="332"/>
      <c r="AB6" s="157"/>
      <c r="AC6" s="157"/>
      <c r="AD6" s="158" t="s">
        <v>224</v>
      </c>
      <c r="AE6" s="159"/>
      <c r="AF6" s="159" t="s">
        <v>191</v>
      </c>
      <c r="AG6" s="159"/>
      <c r="AH6" s="209" t="s">
        <v>192</v>
      </c>
      <c r="AI6" s="159"/>
      <c r="AJ6" s="159" t="s">
        <v>193</v>
      </c>
      <c r="AK6" s="160"/>
      <c r="AL6" s="159" t="s">
        <v>194</v>
      </c>
      <c r="AM6" s="160"/>
      <c r="AN6" s="160" t="s">
        <v>229</v>
      </c>
      <c r="AO6" s="359"/>
      <c r="AP6" s="160" t="s">
        <v>230</v>
      </c>
    </row>
    <row r="7" spans="1:42" x14ac:dyDescent="0.2">
      <c r="A7" s="333">
        <v>1</v>
      </c>
      <c r="B7" s="241" t="s">
        <v>227</v>
      </c>
      <c r="C7" s="334"/>
      <c r="D7" s="335" t="s">
        <v>222</v>
      </c>
      <c r="E7" s="336"/>
      <c r="F7" s="337"/>
      <c r="G7" s="334"/>
      <c r="H7" s="335" t="s">
        <v>222</v>
      </c>
      <c r="I7" s="336"/>
      <c r="J7" s="337"/>
      <c r="K7" s="334"/>
      <c r="L7" s="335" t="s">
        <v>222</v>
      </c>
      <c r="M7" s="336"/>
      <c r="N7" s="337"/>
      <c r="O7" s="334"/>
      <c r="P7" s="335" t="s">
        <v>222</v>
      </c>
      <c r="Q7" s="336"/>
      <c r="R7" s="337"/>
      <c r="S7" s="334"/>
      <c r="T7" s="335" t="s">
        <v>222</v>
      </c>
      <c r="U7" s="336"/>
      <c r="V7" s="337"/>
      <c r="W7" s="338">
        <f t="shared" ref="W7:W16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0</v>
      </c>
      <c r="X7" s="339"/>
      <c r="Y7" s="334">
        <f>C7+G7+K7+O7+S7</f>
        <v>0</v>
      </c>
      <c r="Z7" s="335" t="s">
        <v>222</v>
      </c>
      <c r="AA7" s="340">
        <f>E7+I7+M7+Q7+U7</f>
        <v>0</v>
      </c>
      <c r="AB7" s="341">
        <f>Y7-AA7</f>
        <v>0</v>
      </c>
      <c r="AD7" s="211">
        <f>SUM(AE7:AP7)</f>
        <v>232</v>
      </c>
      <c r="AE7" s="212">
        <f>IFERROR(INDEX(V!$R:$R,MATCH(AF7,V!$L:$L,0)),"")</f>
        <v>115</v>
      </c>
      <c r="AF7" s="213" t="str">
        <f>IFERROR(LEFT($B7,(FIND(",",$B7,1)-1)),"")</f>
        <v>Oksana Rõndenkova</v>
      </c>
      <c r="AG7" s="212">
        <f>IFERROR(INDEX(V!$R:$R,MATCH(AH7,V!$L:$L,0)),"")</f>
        <v>117</v>
      </c>
      <c r="AH7" s="213" t="str">
        <f>IFERROR(MID($B7,FIND(", ",$B7)+2,256),"")</f>
        <v>Oleg Rõndenkov</v>
      </c>
      <c r="AI7" s="212" t="str">
        <f>IFERROR(INDEX(V!$R:$R,MATCH(AJ7,V!$L:$L,0)),"")</f>
        <v/>
      </c>
      <c r="AJ7" s="213" t="str">
        <f>IFERROR(MID($B7,FIND("^",SUBSTITUTE($B7,", ","^",1))+2,FIND("^",SUBSTITUTE($B7,", ","^",2))-FIND("^",SUBSTITUTE($B7,", ","^",1))-2),"")</f>
        <v/>
      </c>
      <c r="AK7" s="212" t="str">
        <f>IFERROR(INDEX(V!$R:$R,MATCH(AL7,V!$L:$L,0)),"")</f>
        <v/>
      </c>
      <c r="AL7" s="213" t="str">
        <f>IFERROR(MID($B7,FIND(", ",$B7,FIND(", ",$B7,FIND(", ",$B7))+1)+2,30000),"")</f>
        <v/>
      </c>
      <c r="AM7" s="212" t="str">
        <f>IFERROR(INDEX(V!$R:$R,MATCH(AN7,V!$L:$L,0)),"")</f>
        <v/>
      </c>
      <c r="AN7" s="213" t="str">
        <f>IFERROR(MID($B7,FIND(", ",$B7,FIND(", ",$B7)+1)+2,FIND(", ",$B7,FIND(", ",$B7,FIND(", ",$B7)+1)+1)-FIND(", ",$B7,FIND(", ",$B7)+1)-2),"")</f>
        <v/>
      </c>
      <c r="AO7" s="212" t="str">
        <f>IFERROR(INDEX(V!$R:$R,MATCH(AP7,V!$L:$L,0)),"")</f>
        <v/>
      </c>
      <c r="AP7" s="213" t="str">
        <f>IFERROR(MID($B7,FIND(", ",$B7,FIND(", ",$B7,FIND(", ",$B7)+1)+1)+2,30000),"")</f>
        <v/>
      </c>
    </row>
    <row r="8" spans="1:42" x14ac:dyDescent="0.2">
      <c r="A8" s="333">
        <v>2</v>
      </c>
      <c r="B8" s="241" t="s">
        <v>284</v>
      </c>
      <c r="C8" s="334"/>
      <c r="D8" s="335" t="s">
        <v>222</v>
      </c>
      <c r="E8" s="336"/>
      <c r="F8" s="337"/>
      <c r="G8" s="334"/>
      <c r="H8" s="335" t="s">
        <v>222</v>
      </c>
      <c r="I8" s="336"/>
      <c r="J8" s="337"/>
      <c r="K8" s="334"/>
      <c r="L8" s="335" t="s">
        <v>222</v>
      </c>
      <c r="M8" s="336"/>
      <c r="N8" s="337"/>
      <c r="O8" s="334"/>
      <c r="P8" s="335" t="s">
        <v>222</v>
      </c>
      <c r="Q8" s="336"/>
      <c r="R8" s="337"/>
      <c r="S8" s="334"/>
      <c r="T8" s="335" t="s">
        <v>222</v>
      </c>
      <c r="U8" s="336"/>
      <c r="V8" s="337"/>
      <c r="W8" s="338">
        <f t="shared" si="0"/>
        <v>0</v>
      </c>
      <c r="X8" s="339"/>
      <c r="Y8" s="334">
        <f t="shared" ref="Y8:Y16" si="1">C8+G8+K8+O8+S8</f>
        <v>0</v>
      </c>
      <c r="Z8" s="335" t="s">
        <v>222</v>
      </c>
      <c r="AA8" s="340">
        <f t="shared" ref="AA8:AA16" si="2">E8+I8+M8+Q8+U8</f>
        <v>0</v>
      </c>
      <c r="AB8" s="341">
        <f t="shared" ref="AB8:AB16" si="3">Y8-AA8</f>
        <v>0</v>
      </c>
      <c r="AD8" s="211">
        <f t="shared" ref="AD8:AD16" si="4">SUM(AE8:AP8)</f>
        <v>92</v>
      </c>
      <c r="AE8" s="212">
        <f>IFERROR(INDEX(V!$R:$R,MATCH(AF8,V!$L:$L,0)),"")</f>
        <v>27</v>
      </c>
      <c r="AF8" s="213" t="str">
        <f t="shared" ref="AF8:AF19" si="5">IFERROR(LEFT($B8,(FIND(",",$B8,1)-1)),"")</f>
        <v>Johannes Neiland</v>
      </c>
      <c r="AG8" s="212">
        <f>IFERROR(INDEX(V!$R:$R,MATCH(AH8,V!$L:$L,0)),"")</f>
        <v>65</v>
      </c>
      <c r="AH8" s="213" t="str">
        <f t="shared" ref="AH8:AH19" si="6">IFERROR(MID($B8,FIND(", ",$B8)+2,256),"")</f>
        <v>Tõnis Neiland</v>
      </c>
      <c r="AI8" s="212" t="str">
        <f>IFERROR(INDEX(V!$R:$R,MATCH(AJ8,V!$L:$L,0)),"")</f>
        <v/>
      </c>
      <c r="AJ8" s="213" t="str">
        <f t="shared" ref="AJ8:AJ19" si="7">IFERROR(MID($B8,FIND("^",SUBSTITUTE($B8,", ","^",1))+2,FIND("^",SUBSTITUTE($B8,", ","^",2))-FIND("^",SUBSTITUTE($B8,", ","^",1))-2),"")</f>
        <v/>
      </c>
      <c r="AK8" s="212" t="str">
        <f>IFERROR(INDEX(V!$R:$R,MATCH(AL8,V!$L:$L,0)),"")</f>
        <v/>
      </c>
      <c r="AL8" s="213" t="str">
        <f t="shared" ref="AL8:AL19" si="8">IFERROR(MID($B8,FIND(", ",$B8,FIND(", ",$B8,FIND(", ",$B8))+1)+2,30000),"")</f>
        <v/>
      </c>
      <c r="AM8" s="212" t="str">
        <f>IFERROR(INDEX(V!$R:$R,MATCH(AN8,V!$L:$L,0)),"")</f>
        <v/>
      </c>
      <c r="AN8" s="213" t="str">
        <f t="shared" ref="AN8:AN19" si="9">IFERROR(MID($B8,FIND(", ",$B8,FIND(", ",$B8)+1)+2,FIND(", ",$B8,FIND(", ",$B8,FIND(", ",$B8)+1)+1)-FIND(", ",$B8,FIND(", ",$B8)+1)-2),"")</f>
        <v/>
      </c>
      <c r="AO8" s="212" t="str">
        <f>IFERROR(INDEX(V!$R:$R,MATCH(AP8,V!$L:$L,0)),"")</f>
        <v/>
      </c>
      <c r="AP8" s="213" t="str">
        <f t="shared" ref="AP8:AP19" si="10">IFERROR(MID($B8,FIND(", ",$B8,FIND(", ",$B8,FIND(", ",$B8)+1)+1)+2,30000),"")</f>
        <v/>
      </c>
    </row>
    <row r="9" spans="1:42" x14ac:dyDescent="0.2">
      <c r="A9" s="333">
        <v>3</v>
      </c>
      <c r="B9" s="241" t="s">
        <v>260</v>
      </c>
      <c r="C9" s="334"/>
      <c r="D9" s="335" t="s">
        <v>222</v>
      </c>
      <c r="E9" s="336"/>
      <c r="F9" s="337"/>
      <c r="G9" s="334"/>
      <c r="H9" s="335" t="s">
        <v>222</v>
      </c>
      <c r="I9" s="336"/>
      <c r="J9" s="337"/>
      <c r="K9" s="334"/>
      <c r="L9" s="335" t="s">
        <v>222</v>
      </c>
      <c r="M9" s="336"/>
      <c r="N9" s="337"/>
      <c r="O9" s="334"/>
      <c r="P9" s="335" t="s">
        <v>222</v>
      </c>
      <c r="Q9" s="336"/>
      <c r="R9" s="337"/>
      <c r="S9" s="334"/>
      <c r="T9" s="335" t="s">
        <v>222</v>
      </c>
      <c r="U9" s="336"/>
      <c r="V9" s="337"/>
      <c r="W9" s="338">
        <f>IF(C9&gt;E9,W$2,IF(C9&lt;E9,W$4,IF(ISNUMBER(C9),W$3,0)))+IF(G9&gt;I9,W$2,IF(G9&lt;I9,W$4,IF(ISNUMBER(G9),W$3,0)))+IF(K9&gt;M9,W$2,IF(K9&lt;M9,W$4,IF(ISNUMBER(K9),W$3,0)))+IF(O9&gt;Q9,W$2,IF(O9&lt;Q9,W$4,IF(ISNUMBER(O9),W$3,0)))+IF(S9&gt;U9,W$2,IF(S9&lt;U9,W$4,IF(ISNUMBER(S9),W$3,0)))</f>
        <v>0</v>
      </c>
      <c r="X9" s="339"/>
      <c r="Y9" s="334">
        <f>C9+G9+K9+O9+S9</f>
        <v>0</v>
      </c>
      <c r="Z9" s="335" t="s">
        <v>222</v>
      </c>
      <c r="AA9" s="340">
        <f>E9+I9+M9+Q9+U9</f>
        <v>0</v>
      </c>
      <c r="AB9" s="341">
        <f>Y9-AA9</f>
        <v>0</v>
      </c>
      <c r="AD9" s="211">
        <f>SUM(AE9:AP9)</f>
        <v>282</v>
      </c>
      <c r="AE9" s="212">
        <f>IFERROR(INDEX(V!$R:$R,MATCH(AF9,V!$L:$L,0)),"")</f>
        <v>141</v>
      </c>
      <c r="AF9" s="213" t="str">
        <f>IFERROR(LEFT($B9,(FIND(",",$B9,1)-1)),"")</f>
        <v>Enn Tokman</v>
      </c>
      <c r="AG9" s="212">
        <f>IFERROR(INDEX(V!$R:$R,MATCH(AH9,V!$L:$L,0)),"")</f>
        <v>141</v>
      </c>
      <c r="AH9" s="213" t="str">
        <f>IFERROR(MID($B9,FIND(", ",$B9)+2,256),"")</f>
        <v>Kenneth Muusikus</v>
      </c>
      <c r="AI9" s="212" t="str">
        <f>IFERROR(INDEX(V!$R:$R,MATCH(AJ9,V!$L:$L,0)),"")</f>
        <v/>
      </c>
      <c r="AJ9" s="213" t="str">
        <f>IFERROR(MID($B9,FIND("^",SUBSTITUTE($B9,", ","^",1))+2,FIND("^",SUBSTITUTE($B9,", ","^",2))-FIND("^",SUBSTITUTE($B9,", ","^",1))-2),"")</f>
        <v/>
      </c>
      <c r="AK9" s="212" t="str">
        <f>IFERROR(INDEX(V!$R:$R,MATCH(AL9,V!$L:$L,0)),"")</f>
        <v/>
      </c>
      <c r="AL9" s="213" t="str">
        <f>IFERROR(MID($B9,FIND(", ",$B9,FIND(", ",$B9,FIND(", ",$B9))+1)+2,30000),"")</f>
        <v/>
      </c>
      <c r="AM9" s="212" t="str">
        <f>IFERROR(INDEX(V!$R:$R,MATCH(AN9,V!$L:$L,0)),"")</f>
        <v/>
      </c>
      <c r="AN9" s="213" t="str">
        <f>IFERROR(MID($B9,FIND(", ",$B9,FIND(", ",$B9)+1)+2,FIND(", ",$B9,FIND(", ",$B9,FIND(", ",$B9)+1)+1)-FIND(", ",$B9,FIND(", ",$B9)+1)-2),"")</f>
        <v/>
      </c>
      <c r="AO9" s="212" t="str">
        <f>IFERROR(INDEX(V!$R:$R,MATCH(AP9,V!$L:$L,0)),"")</f>
        <v/>
      </c>
      <c r="AP9" s="213" t="str">
        <f>IFERROR(MID($B9,FIND(", ",$B9,FIND(", ",$B9,FIND(", ",$B9)+1)+1)+2,30000),"")</f>
        <v/>
      </c>
    </row>
    <row r="10" spans="1:42" x14ac:dyDescent="0.2">
      <c r="A10" s="333">
        <v>4</v>
      </c>
      <c r="B10" s="255" t="s">
        <v>285</v>
      </c>
      <c r="C10" s="334"/>
      <c r="D10" s="335" t="s">
        <v>222</v>
      </c>
      <c r="E10" s="336"/>
      <c r="F10" s="337"/>
      <c r="G10" s="334"/>
      <c r="H10" s="335" t="s">
        <v>222</v>
      </c>
      <c r="I10" s="336"/>
      <c r="J10" s="337"/>
      <c r="K10" s="334"/>
      <c r="L10" s="335" t="s">
        <v>222</v>
      </c>
      <c r="M10" s="336"/>
      <c r="N10" s="337"/>
      <c r="O10" s="334"/>
      <c r="P10" s="335" t="s">
        <v>222</v>
      </c>
      <c r="Q10" s="336"/>
      <c r="R10" s="337"/>
      <c r="S10" s="334"/>
      <c r="T10" s="335" t="s">
        <v>222</v>
      </c>
      <c r="U10" s="336"/>
      <c r="V10" s="337"/>
      <c r="W10" s="338">
        <f t="shared" si="0"/>
        <v>0</v>
      </c>
      <c r="X10" s="339"/>
      <c r="Y10" s="334">
        <f t="shared" si="1"/>
        <v>0</v>
      </c>
      <c r="Z10" s="335" t="s">
        <v>222</v>
      </c>
      <c r="AA10" s="340">
        <f t="shared" si="2"/>
        <v>0</v>
      </c>
      <c r="AB10" s="341">
        <f t="shared" si="3"/>
        <v>0</v>
      </c>
      <c r="AD10" s="211">
        <f t="shared" si="4"/>
        <v>195</v>
      </c>
      <c r="AE10" s="212">
        <f>IFERROR(INDEX(V!$R:$R,MATCH(AF10,V!$L:$L,0)),"")</f>
        <v>153</v>
      </c>
      <c r="AF10" s="213" t="str">
        <f t="shared" si="5"/>
        <v>Kaspar Mänd</v>
      </c>
      <c r="AG10" s="212">
        <f>IFERROR(INDEX(V!$R:$R,MATCH(AH10,V!$L:$L,0)),"")</f>
        <v>42</v>
      </c>
      <c r="AH10" s="213" t="str">
        <f t="shared" si="6"/>
        <v>Matti Vinni</v>
      </c>
      <c r="AI10" s="212" t="str">
        <f>IFERROR(INDEX(V!$R:$R,MATCH(AJ10,V!$L:$L,0)),"")</f>
        <v/>
      </c>
      <c r="AJ10" s="213" t="str">
        <f t="shared" si="7"/>
        <v/>
      </c>
      <c r="AK10" s="212" t="str">
        <f>IFERROR(INDEX(V!$R:$R,MATCH(AL10,V!$L:$L,0)),"")</f>
        <v/>
      </c>
      <c r="AL10" s="213" t="str">
        <f t="shared" si="8"/>
        <v/>
      </c>
      <c r="AM10" s="212" t="str">
        <f>IFERROR(INDEX(V!$R:$R,MATCH(AN10,V!$L:$L,0)),"")</f>
        <v/>
      </c>
      <c r="AN10" s="213" t="str">
        <f t="shared" si="9"/>
        <v/>
      </c>
      <c r="AO10" s="212" t="str">
        <f>IFERROR(INDEX(V!$R:$R,MATCH(AP10,V!$L:$L,0)),"")</f>
        <v/>
      </c>
      <c r="AP10" s="213" t="str">
        <f t="shared" si="10"/>
        <v/>
      </c>
    </row>
    <row r="11" spans="1:42" x14ac:dyDescent="0.2">
      <c r="A11" s="333">
        <v>5</v>
      </c>
      <c r="B11" s="241" t="s">
        <v>286</v>
      </c>
      <c r="C11" s="334"/>
      <c r="D11" s="335" t="s">
        <v>222</v>
      </c>
      <c r="E11" s="336"/>
      <c r="F11" s="337"/>
      <c r="G11" s="334"/>
      <c r="H11" s="335" t="s">
        <v>222</v>
      </c>
      <c r="I11" s="336"/>
      <c r="J11" s="337"/>
      <c r="K11" s="334"/>
      <c r="L11" s="335" t="s">
        <v>222</v>
      </c>
      <c r="M11" s="336"/>
      <c r="N11" s="337"/>
      <c r="O11" s="334"/>
      <c r="P11" s="335" t="s">
        <v>222</v>
      </c>
      <c r="Q11" s="336"/>
      <c r="R11" s="337"/>
      <c r="S11" s="334"/>
      <c r="T11" s="335" t="s">
        <v>222</v>
      </c>
      <c r="U11" s="336"/>
      <c r="V11" s="337"/>
      <c r="W11" s="338">
        <f t="shared" si="0"/>
        <v>0</v>
      </c>
      <c r="X11" s="339"/>
      <c r="Y11" s="334">
        <f t="shared" si="1"/>
        <v>0</v>
      </c>
      <c r="Z11" s="335" t="s">
        <v>222</v>
      </c>
      <c r="AA11" s="340">
        <f t="shared" si="2"/>
        <v>0</v>
      </c>
      <c r="AB11" s="341">
        <f t="shared" si="3"/>
        <v>0</v>
      </c>
      <c r="AD11" s="211">
        <f t="shared" si="4"/>
        <v>184</v>
      </c>
      <c r="AE11" s="212">
        <f>IFERROR(INDEX(V!$R:$R,MATCH(AF11,V!$L:$L,0)),"")</f>
        <v>159</v>
      </c>
      <c r="AF11" s="213" t="str">
        <f t="shared" si="5"/>
        <v>Henri Mitt</v>
      </c>
      <c r="AG11" s="212">
        <f>IFERROR(INDEX(V!$R:$R,MATCH(AH11,V!$L:$L,0)),"")</f>
        <v>25</v>
      </c>
      <c r="AH11" s="213" t="str">
        <f t="shared" si="6"/>
        <v>Illar Tõnurist</v>
      </c>
      <c r="AI11" s="212" t="str">
        <f>IFERROR(INDEX(V!$R:$R,MATCH(AJ11,V!$L:$L,0)),"")</f>
        <v/>
      </c>
      <c r="AJ11" s="213" t="str">
        <f t="shared" si="7"/>
        <v/>
      </c>
      <c r="AK11" s="212" t="str">
        <f>IFERROR(INDEX(V!$R:$R,MATCH(AL11,V!$L:$L,0)),"")</f>
        <v/>
      </c>
      <c r="AL11" s="213" t="str">
        <f t="shared" si="8"/>
        <v/>
      </c>
      <c r="AM11" s="212" t="str">
        <f>IFERROR(INDEX(V!$R:$R,MATCH(AN11,V!$L:$L,0)),"")</f>
        <v/>
      </c>
      <c r="AN11" s="213" t="str">
        <f t="shared" si="9"/>
        <v/>
      </c>
      <c r="AO11" s="212" t="str">
        <f>IFERROR(INDEX(V!$R:$R,MATCH(AP11,V!$L:$L,0)),"")</f>
        <v/>
      </c>
      <c r="AP11" s="213" t="str">
        <f t="shared" si="10"/>
        <v/>
      </c>
    </row>
    <row r="12" spans="1:42" x14ac:dyDescent="0.2">
      <c r="A12" s="333">
        <v>6</v>
      </c>
      <c r="B12" s="255" t="s">
        <v>287</v>
      </c>
      <c r="C12" s="334"/>
      <c r="D12" s="335" t="s">
        <v>222</v>
      </c>
      <c r="E12" s="336"/>
      <c r="F12" s="337"/>
      <c r="G12" s="334"/>
      <c r="H12" s="335" t="s">
        <v>222</v>
      </c>
      <c r="I12" s="336"/>
      <c r="J12" s="337"/>
      <c r="K12" s="334"/>
      <c r="L12" s="335" t="s">
        <v>222</v>
      </c>
      <c r="M12" s="336"/>
      <c r="N12" s="337"/>
      <c r="O12" s="334"/>
      <c r="P12" s="335" t="s">
        <v>222</v>
      </c>
      <c r="Q12" s="336"/>
      <c r="R12" s="337"/>
      <c r="S12" s="334"/>
      <c r="T12" s="335" t="s">
        <v>222</v>
      </c>
      <c r="U12" s="336"/>
      <c r="V12" s="337"/>
      <c r="W12" s="338">
        <f t="shared" si="0"/>
        <v>0</v>
      </c>
      <c r="X12" s="339"/>
      <c r="Y12" s="334">
        <f t="shared" si="1"/>
        <v>0</v>
      </c>
      <c r="Z12" s="335" t="s">
        <v>222</v>
      </c>
      <c r="AA12" s="340">
        <f t="shared" si="2"/>
        <v>0</v>
      </c>
      <c r="AB12" s="341">
        <f t="shared" si="3"/>
        <v>0</v>
      </c>
      <c r="AD12" s="211">
        <f t="shared" si="4"/>
        <v>45</v>
      </c>
      <c r="AE12" s="212">
        <f>IFERROR(INDEX(V!$R:$R,MATCH(AF12,V!$L:$L,0)),"")</f>
        <v>23</v>
      </c>
      <c r="AF12" s="213" t="str">
        <f t="shared" si="5"/>
        <v>Aarne Välja</v>
      </c>
      <c r="AG12" s="212">
        <f>IFERROR(INDEX(V!$R:$R,MATCH(AH12,V!$L:$L,0)),"")</f>
        <v>22</v>
      </c>
      <c r="AH12" s="213" t="str">
        <f t="shared" si="6"/>
        <v>Janek Tarto</v>
      </c>
      <c r="AI12" s="212" t="str">
        <f>IFERROR(INDEX(V!$R:$R,MATCH(AJ12,V!$L:$L,0)),"")</f>
        <v/>
      </c>
      <c r="AJ12" s="213" t="str">
        <f t="shared" si="7"/>
        <v/>
      </c>
      <c r="AK12" s="212" t="str">
        <f>IFERROR(INDEX(V!$R:$R,MATCH(AL12,V!$L:$L,0)),"")</f>
        <v/>
      </c>
      <c r="AL12" s="213" t="str">
        <f t="shared" si="8"/>
        <v/>
      </c>
      <c r="AM12" s="212" t="str">
        <f>IFERROR(INDEX(V!$R:$R,MATCH(AN12,V!$L:$L,0)),"")</f>
        <v/>
      </c>
      <c r="AN12" s="213" t="str">
        <f t="shared" si="9"/>
        <v/>
      </c>
      <c r="AO12" s="212" t="str">
        <f>IFERROR(INDEX(V!$R:$R,MATCH(AP12,V!$L:$L,0)),"")</f>
        <v/>
      </c>
      <c r="AP12" s="213" t="str">
        <f t="shared" si="10"/>
        <v/>
      </c>
    </row>
    <row r="13" spans="1:42" x14ac:dyDescent="0.2">
      <c r="A13" s="333">
        <v>7</v>
      </c>
      <c r="B13" s="342" t="s">
        <v>288</v>
      </c>
      <c r="C13" s="334"/>
      <c r="D13" s="335" t="s">
        <v>222</v>
      </c>
      <c r="E13" s="336"/>
      <c r="F13" s="337"/>
      <c r="G13" s="334"/>
      <c r="H13" s="335" t="s">
        <v>222</v>
      </c>
      <c r="I13" s="336"/>
      <c r="J13" s="337"/>
      <c r="K13" s="334"/>
      <c r="L13" s="335" t="s">
        <v>222</v>
      </c>
      <c r="M13" s="336"/>
      <c r="N13" s="337"/>
      <c r="O13" s="334"/>
      <c r="P13" s="335" t="s">
        <v>222</v>
      </c>
      <c r="Q13" s="336"/>
      <c r="R13" s="337"/>
      <c r="S13" s="334"/>
      <c r="T13" s="335" t="s">
        <v>222</v>
      </c>
      <c r="U13" s="336"/>
      <c r="V13" s="337"/>
      <c r="W13" s="338">
        <f t="shared" si="0"/>
        <v>0</v>
      </c>
      <c r="X13" s="339"/>
      <c r="Y13" s="334">
        <f t="shared" si="1"/>
        <v>0</v>
      </c>
      <c r="Z13" s="335" t="s">
        <v>222</v>
      </c>
      <c r="AA13" s="340">
        <f t="shared" si="2"/>
        <v>0</v>
      </c>
      <c r="AB13" s="341">
        <f t="shared" si="3"/>
        <v>0</v>
      </c>
      <c r="AD13" s="211">
        <f t="shared" si="4"/>
        <v>126</v>
      </c>
      <c r="AE13" s="212">
        <f>IFERROR(INDEX(V!$R:$R,MATCH(AF13,V!$L:$L,0)),"")</f>
        <v>23</v>
      </c>
      <c r="AF13" s="213" t="str">
        <f t="shared" si="5"/>
        <v>Elmo Lageda</v>
      </c>
      <c r="AG13" s="212">
        <f>IFERROR(INDEX(V!$R:$R,MATCH(AH13,V!$L:$L,0)),"")</f>
        <v>103</v>
      </c>
      <c r="AH13" s="213" t="str">
        <f t="shared" si="6"/>
        <v>Sirje Maala</v>
      </c>
      <c r="AI13" s="212" t="str">
        <f>IFERROR(INDEX(V!$R:$R,MATCH(AJ13,V!$L:$L,0)),"")</f>
        <v/>
      </c>
      <c r="AJ13" s="213" t="str">
        <f t="shared" si="7"/>
        <v/>
      </c>
      <c r="AK13" s="212" t="str">
        <f>IFERROR(INDEX(V!$R:$R,MATCH(AL13,V!$L:$L,0)),"")</f>
        <v/>
      </c>
      <c r="AL13" s="213" t="str">
        <f t="shared" si="8"/>
        <v/>
      </c>
      <c r="AM13" s="212" t="str">
        <f>IFERROR(INDEX(V!$R:$R,MATCH(AN13,V!$L:$L,0)),"")</f>
        <v/>
      </c>
      <c r="AN13" s="213" t="str">
        <f t="shared" si="9"/>
        <v/>
      </c>
      <c r="AO13" s="212" t="str">
        <f>IFERROR(INDEX(V!$R:$R,MATCH(AP13,V!$L:$L,0)),"")</f>
        <v/>
      </c>
      <c r="AP13" s="213" t="str">
        <f t="shared" si="10"/>
        <v/>
      </c>
    </row>
    <row r="14" spans="1:42" x14ac:dyDescent="0.2">
      <c r="A14" s="333">
        <v>8</v>
      </c>
      <c r="B14" s="342" t="s">
        <v>209</v>
      </c>
      <c r="C14" s="334"/>
      <c r="D14" s="335" t="s">
        <v>222</v>
      </c>
      <c r="E14" s="336"/>
      <c r="F14" s="337"/>
      <c r="G14" s="334"/>
      <c r="H14" s="335" t="s">
        <v>222</v>
      </c>
      <c r="I14" s="336"/>
      <c r="J14" s="337"/>
      <c r="K14" s="334"/>
      <c r="L14" s="335" t="s">
        <v>222</v>
      </c>
      <c r="M14" s="336"/>
      <c r="N14" s="337"/>
      <c r="O14" s="334"/>
      <c r="P14" s="335" t="s">
        <v>222</v>
      </c>
      <c r="Q14" s="336"/>
      <c r="R14" s="337"/>
      <c r="S14" s="334"/>
      <c r="T14" s="335" t="s">
        <v>222</v>
      </c>
      <c r="U14" s="336"/>
      <c r="V14" s="337"/>
      <c r="W14" s="338">
        <f t="shared" si="0"/>
        <v>0</v>
      </c>
      <c r="X14" s="339"/>
      <c r="Y14" s="334">
        <f t="shared" si="1"/>
        <v>0</v>
      </c>
      <c r="Z14" s="335" t="s">
        <v>222</v>
      </c>
      <c r="AA14" s="340">
        <f t="shared" si="2"/>
        <v>0</v>
      </c>
      <c r="AB14" s="341">
        <f t="shared" si="3"/>
        <v>0</v>
      </c>
      <c r="AD14" s="211">
        <f t="shared" si="4"/>
        <v>146</v>
      </c>
      <c r="AE14" s="212">
        <f>IFERROR(INDEX(V!$R:$R,MATCH(AF14,V!$L:$L,0)),"")</f>
        <v>73</v>
      </c>
      <c r="AF14" s="213" t="str">
        <f t="shared" si="5"/>
        <v>Jaan Sepp</v>
      </c>
      <c r="AG14" s="212">
        <f>IFERROR(INDEX(V!$R:$R,MATCH(AH14,V!$L:$L,0)),"")</f>
        <v>73</v>
      </c>
      <c r="AH14" s="213" t="str">
        <f t="shared" si="6"/>
        <v>Oskar Sepp</v>
      </c>
      <c r="AI14" s="212" t="str">
        <f>IFERROR(INDEX(V!$R:$R,MATCH(AJ14,V!$L:$L,0)),"")</f>
        <v/>
      </c>
      <c r="AJ14" s="213" t="str">
        <f t="shared" si="7"/>
        <v/>
      </c>
      <c r="AK14" s="212" t="str">
        <f>IFERROR(INDEX(V!$R:$R,MATCH(AL14,V!$L:$L,0)),"")</f>
        <v/>
      </c>
      <c r="AL14" s="213" t="str">
        <f t="shared" si="8"/>
        <v/>
      </c>
      <c r="AM14" s="212" t="str">
        <f>IFERROR(INDEX(V!$R:$R,MATCH(AN14,V!$L:$L,0)),"")</f>
        <v/>
      </c>
      <c r="AN14" s="213" t="str">
        <f t="shared" si="9"/>
        <v/>
      </c>
      <c r="AO14" s="212" t="str">
        <f>IFERROR(INDEX(V!$R:$R,MATCH(AP14,V!$L:$L,0)),"")</f>
        <v/>
      </c>
      <c r="AP14" s="213" t="str">
        <f t="shared" si="10"/>
        <v/>
      </c>
    </row>
    <row r="15" spans="1:42" x14ac:dyDescent="0.2">
      <c r="A15" s="333">
        <v>9</v>
      </c>
      <c r="B15" s="255" t="s">
        <v>271</v>
      </c>
      <c r="C15" s="334"/>
      <c r="D15" s="335" t="s">
        <v>222</v>
      </c>
      <c r="E15" s="336"/>
      <c r="F15" s="337"/>
      <c r="G15" s="334"/>
      <c r="H15" s="335" t="s">
        <v>222</v>
      </c>
      <c r="I15" s="336"/>
      <c r="J15" s="337"/>
      <c r="K15" s="334"/>
      <c r="L15" s="335" t="s">
        <v>222</v>
      </c>
      <c r="M15" s="336"/>
      <c r="N15" s="337"/>
      <c r="O15" s="334"/>
      <c r="P15" s="335" t="s">
        <v>222</v>
      </c>
      <c r="Q15" s="336"/>
      <c r="R15" s="337"/>
      <c r="S15" s="334"/>
      <c r="T15" s="335" t="s">
        <v>222</v>
      </c>
      <c r="U15" s="336"/>
      <c r="V15" s="337"/>
      <c r="W15" s="338">
        <f t="shared" si="0"/>
        <v>0</v>
      </c>
      <c r="X15" s="339"/>
      <c r="Y15" s="334">
        <f t="shared" si="1"/>
        <v>0</v>
      </c>
      <c r="Z15" s="335" t="s">
        <v>222</v>
      </c>
      <c r="AA15" s="340">
        <f t="shared" si="2"/>
        <v>0</v>
      </c>
      <c r="AB15" s="341">
        <f t="shared" si="3"/>
        <v>0</v>
      </c>
      <c r="AD15" s="211">
        <f t="shared" si="4"/>
        <v>67</v>
      </c>
      <c r="AE15" s="212">
        <f>IFERROR(INDEX(V!$R:$R,MATCH(AF15,V!$L:$L,0)),"")</f>
        <v>51</v>
      </c>
      <c r="AF15" s="213" t="str">
        <f t="shared" si="5"/>
        <v>Aleksander Korikov</v>
      </c>
      <c r="AG15" s="212">
        <f>IFERROR(INDEX(V!$R:$R,MATCH(AH15,V!$L:$L,0)),"")</f>
        <v>16</v>
      </c>
      <c r="AH15" s="213" t="str">
        <f t="shared" si="6"/>
        <v>Jevgeni Korikov</v>
      </c>
      <c r="AI15" s="212" t="str">
        <f>IFERROR(INDEX(V!$R:$R,MATCH(AJ15,V!$L:$L,0)),"")</f>
        <v/>
      </c>
      <c r="AJ15" s="213" t="str">
        <f t="shared" si="7"/>
        <v/>
      </c>
      <c r="AK15" s="212" t="str">
        <f>IFERROR(INDEX(V!$R:$R,MATCH(AL15,V!$L:$L,0)),"")</f>
        <v/>
      </c>
      <c r="AL15" s="213" t="str">
        <f t="shared" si="8"/>
        <v/>
      </c>
      <c r="AM15" s="212" t="str">
        <f>IFERROR(INDEX(V!$R:$R,MATCH(AN15,V!$L:$L,0)),"")</f>
        <v/>
      </c>
      <c r="AN15" s="213" t="str">
        <f t="shared" si="9"/>
        <v/>
      </c>
      <c r="AO15" s="212" t="str">
        <f>IFERROR(INDEX(V!$R:$R,MATCH(AP15,V!$L:$L,0)),"")</f>
        <v/>
      </c>
      <c r="AP15" s="213" t="str">
        <f t="shared" si="10"/>
        <v/>
      </c>
    </row>
    <row r="16" spans="1:42" x14ac:dyDescent="0.2">
      <c r="A16" s="333">
        <v>10</v>
      </c>
      <c r="B16" s="241" t="s">
        <v>210</v>
      </c>
      <c r="C16" s="334"/>
      <c r="D16" s="335" t="s">
        <v>222</v>
      </c>
      <c r="E16" s="336"/>
      <c r="F16" s="337"/>
      <c r="G16" s="334"/>
      <c r="H16" s="335" t="s">
        <v>222</v>
      </c>
      <c r="I16" s="336"/>
      <c r="J16" s="337"/>
      <c r="K16" s="334"/>
      <c r="L16" s="335" t="s">
        <v>222</v>
      </c>
      <c r="M16" s="336"/>
      <c r="N16" s="337"/>
      <c r="O16" s="334"/>
      <c r="P16" s="335" t="s">
        <v>222</v>
      </c>
      <c r="Q16" s="336"/>
      <c r="R16" s="337"/>
      <c r="S16" s="334"/>
      <c r="T16" s="335" t="s">
        <v>222</v>
      </c>
      <c r="U16" s="336"/>
      <c r="V16" s="337"/>
      <c r="W16" s="338">
        <f t="shared" si="0"/>
        <v>0</v>
      </c>
      <c r="X16" s="339"/>
      <c r="Y16" s="334">
        <f t="shared" si="1"/>
        <v>0</v>
      </c>
      <c r="Z16" s="335" t="s">
        <v>222</v>
      </c>
      <c r="AA16" s="340">
        <f t="shared" si="2"/>
        <v>0</v>
      </c>
      <c r="AB16" s="341">
        <f t="shared" si="3"/>
        <v>0</v>
      </c>
      <c r="AD16" s="211">
        <f t="shared" si="4"/>
        <v>97</v>
      </c>
      <c r="AE16" s="212">
        <f>IFERROR(INDEX(V!$R:$R,MATCH(AF16,V!$L:$L,0)),"")</f>
        <v>42</v>
      </c>
      <c r="AF16" s="213" t="str">
        <f t="shared" si="5"/>
        <v>Andres Veski</v>
      </c>
      <c r="AG16" s="212">
        <f>IFERROR(INDEX(V!$R:$R,MATCH(AH16,V!$L:$L,0)),"")</f>
        <v>55</v>
      </c>
      <c r="AH16" s="213" t="str">
        <f t="shared" si="6"/>
        <v>Svetlana Veski</v>
      </c>
      <c r="AI16" s="212" t="str">
        <f>IFERROR(INDEX(V!$R:$R,MATCH(AJ16,V!$L:$L,0)),"")</f>
        <v/>
      </c>
      <c r="AJ16" s="213" t="str">
        <f t="shared" si="7"/>
        <v/>
      </c>
      <c r="AK16" s="212" t="str">
        <f>IFERROR(INDEX(V!$R:$R,MATCH(AL16,V!$L:$L,0)),"")</f>
        <v/>
      </c>
      <c r="AL16" s="213" t="str">
        <f t="shared" si="8"/>
        <v/>
      </c>
      <c r="AM16" s="212" t="str">
        <f>IFERROR(INDEX(V!$R:$R,MATCH(AN16,V!$L:$L,0)),"")</f>
        <v/>
      </c>
      <c r="AN16" s="213" t="str">
        <f t="shared" si="9"/>
        <v/>
      </c>
      <c r="AO16" s="212" t="str">
        <f>IFERROR(INDEX(V!$R:$R,MATCH(AP16,V!$L:$L,0)),"")</f>
        <v/>
      </c>
      <c r="AP16" s="213" t="str">
        <f t="shared" si="10"/>
        <v/>
      </c>
    </row>
    <row r="17" spans="1:42" x14ac:dyDescent="0.2">
      <c r="A17" s="333">
        <v>11</v>
      </c>
      <c r="B17" s="255" t="s">
        <v>261</v>
      </c>
      <c r="C17" s="334"/>
      <c r="D17" s="335" t="s">
        <v>222</v>
      </c>
      <c r="E17" s="336"/>
      <c r="F17" s="337"/>
      <c r="G17" s="334"/>
      <c r="H17" s="335" t="s">
        <v>222</v>
      </c>
      <c r="I17" s="336"/>
      <c r="J17" s="337"/>
      <c r="K17" s="334"/>
      <c r="L17" s="335" t="s">
        <v>222</v>
      </c>
      <c r="M17" s="336"/>
      <c r="N17" s="337"/>
      <c r="O17" s="334"/>
      <c r="P17" s="335" t="s">
        <v>222</v>
      </c>
      <c r="Q17" s="336"/>
      <c r="R17" s="337"/>
      <c r="S17" s="334"/>
      <c r="T17" s="335" t="s">
        <v>222</v>
      </c>
      <c r="U17" s="336"/>
      <c r="V17" s="337"/>
      <c r="W17" s="338">
        <f t="shared" ref="W17:W19" si="11">IF(C17&gt;E17,W$2,IF(C17&lt;E17,W$4,IF(ISNUMBER(C17),W$3,0)))+IF(G17&gt;I17,W$2,IF(G17&lt;I17,W$4,IF(ISNUMBER(G17),W$3,0)))+IF(K17&gt;M17,W$2,IF(K17&lt;M17,W$4,IF(ISNUMBER(K17),W$3,0)))+IF(O17&gt;Q17,W$2,IF(O17&lt;Q17,W$4,IF(ISNUMBER(O17),W$3,0)))+IF(S17&gt;U17,W$2,IF(S17&lt;U17,W$4,IF(ISNUMBER(S17),W$3,0)))</f>
        <v>0</v>
      </c>
      <c r="X17" s="339"/>
      <c r="Y17" s="334">
        <f t="shared" ref="Y17:Y19" si="12">C17+G17+K17+O17+S17</f>
        <v>0</v>
      </c>
      <c r="Z17" s="335" t="s">
        <v>222</v>
      </c>
      <c r="AA17" s="340">
        <f t="shared" ref="AA17:AA19" si="13">E17+I17+M17+Q17+U17</f>
        <v>0</v>
      </c>
      <c r="AB17" s="341">
        <f t="shared" ref="AB17:AB19" si="14">Y17-AA17</f>
        <v>0</v>
      </c>
      <c r="AD17" s="211">
        <f t="shared" ref="AD17:AD19" si="15">SUM(AE17:AP17)</f>
        <v>106</v>
      </c>
      <c r="AE17" s="212">
        <f>IFERROR(INDEX(V!$R:$R,MATCH(AF17,V!$L:$L,0)),"")</f>
        <v>53</v>
      </c>
      <c r="AF17" s="213" t="str">
        <f t="shared" si="5"/>
        <v>Lemmit Toomra</v>
      </c>
      <c r="AG17" s="212">
        <f>IFERROR(INDEX(V!$R:$R,MATCH(AH17,V!$L:$L,0)),"")</f>
        <v>53</v>
      </c>
      <c r="AH17" s="213" t="str">
        <f t="shared" si="6"/>
        <v>Tõnu Kapper</v>
      </c>
      <c r="AI17" s="212" t="str">
        <f>IFERROR(INDEX(V!$R:$R,MATCH(AJ17,V!$L:$L,0)),"")</f>
        <v/>
      </c>
      <c r="AJ17" s="213" t="str">
        <f t="shared" si="7"/>
        <v/>
      </c>
      <c r="AK17" s="212" t="str">
        <f>IFERROR(INDEX(V!$R:$R,MATCH(AL17,V!$L:$L,0)),"")</f>
        <v/>
      </c>
      <c r="AL17" s="213" t="str">
        <f t="shared" si="8"/>
        <v/>
      </c>
      <c r="AM17" s="212" t="str">
        <f>IFERROR(INDEX(V!$R:$R,MATCH(AN17,V!$L:$L,0)),"")</f>
        <v/>
      </c>
      <c r="AN17" s="213" t="str">
        <f t="shared" si="9"/>
        <v/>
      </c>
      <c r="AO17" s="212" t="str">
        <f>IFERROR(INDEX(V!$R:$R,MATCH(AP17,V!$L:$L,0)),"")</f>
        <v/>
      </c>
      <c r="AP17" s="213" t="str">
        <f t="shared" si="10"/>
        <v/>
      </c>
    </row>
    <row r="18" spans="1:42" x14ac:dyDescent="0.2">
      <c r="A18" s="333">
        <v>12</v>
      </c>
      <c r="B18" s="241" t="s">
        <v>289</v>
      </c>
      <c r="C18" s="334"/>
      <c r="D18" s="335" t="s">
        <v>222</v>
      </c>
      <c r="E18" s="336"/>
      <c r="F18" s="337"/>
      <c r="G18" s="334"/>
      <c r="H18" s="335" t="s">
        <v>222</v>
      </c>
      <c r="I18" s="336"/>
      <c r="J18" s="337"/>
      <c r="K18" s="334"/>
      <c r="L18" s="335" t="s">
        <v>222</v>
      </c>
      <c r="M18" s="336"/>
      <c r="N18" s="337"/>
      <c r="O18" s="334"/>
      <c r="P18" s="335" t="s">
        <v>222</v>
      </c>
      <c r="Q18" s="336"/>
      <c r="R18" s="337"/>
      <c r="S18" s="334"/>
      <c r="T18" s="335" t="s">
        <v>222</v>
      </c>
      <c r="U18" s="336"/>
      <c r="V18" s="337"/>
      <c r="W18" s="338">
        <f t="shared" si="11"/>
        <v>0</v>
      </c>
      <c r="X18" s="339"/>
      <c r="Y18" s="334">
        <f t="shared" si="12"/>
        <v>0</v>
      </c>
      <c r="Z18" s="335" t="s">
        <v>222</v>
      </c>
      <c r="AA18" s="340">
        <f t="shared" si="13"/>
        <v>0</v>
      </c>
      <c r="AB18" s="341">
        <f t="shared" si="14"/>
        <v>0</v>
      </c>
      <c r="AD18" s="211">
        <f t="shared" si="15"/>
        <v>253</v>
      </c>
      <c r="AE18" s="212">
        <f>IFERROR(INDEX(V!$R:$R,MATCH(AF18,V!$L:$L,0)),"")</f>
        <v>143</v>
      </c>
      <c r="AF18" s="213" t="str">
        <f t="shared" si="5"/>
        <v>Jaan Saar</v>
      </c>
      <c r="AG18" s="212">
        <f>IFERROR(INDEX(V!$R:$R,MATCH(AH18,V!$L:$L,0)),"")</f>
        <v>110</v>
      </c>
      <c r="AH18" s="213" t="str">
        <f t="shared" si="6"/>
        <v>Sander Rose</v>
      </c>
      <c r="AI18" s="212" t="str">
        <f>IFERROR(INDEX(V!$R:$R,MATCH(AJ18,V!$L:$L,0)),"")</f>
        <v/>
      </c>
      <c r="AJ18" s="213" t="str">
        <f t="shared" si="7"/>
        <v/>
      </c>
      <c r="AK18" s="212" t="str">
        <f>IFERROR(INDEX(V!$R:$R,MATCH(AL18,V!$L:$L,0)),"")</f>
        <v/>
      </c>
      <c r="AL18" s="213" t="str">
        <f t="shared" si="8"/>
        <v/>
      </c>
      <c r="AM18" s="212" t="str">
        <f>IFERROR(INDEX(V!$R:$R,MATCH(AN18,V!$L:$L,0)),"")</f>
        <v/>
      </c>
      <c r="AN18" s="213" t="str">
        <f t="shared" si="9"/>
        <v/>
      </c>
      <c r="AO18" s="212" t="str">
        <f>IFERROR(INDEX(V!$R:$R,MATCH(AP18,V!$L:$L,0)),"")</f>
        <v/>
      </c>
      <c r="AP18" s="213" t="str">
        <f t="shared" si="10"/>
        <v/>
      </c>
    </row>
    <row r="19" spans="1:42" x14ac:dyDescent="0.2">
      <c r="A19" s="333">
        <v>13</v>
      </c>
      <c r="B19" s="255" t="s">
        <v>279</v>
      </c>
      <c r="C19" s="334"/>
      <c r="D19" s="335" t="s">
        <v>222</v>
      </c>
      <c r="E19" s="336"/>
      <c r="F19" s="337"/>
      <c r="G19" s="334"/>
      <c r="H19" s="335" t="s">
        <v>222</v>
      </c>
      <c r="I19" s="336"/>
      <c r="J19" s="337"/>
      <c r="K19" s="334"/>
      <c r="L19" s="335" t="s">
        <v>222</v>
      </c>
      <c r="M19" s="336"/>
      <c r="N19" s="337"/>
      <c r="O19" s="334"/>
      <c r="P19" s="335" t="s">
        <v>222</v>
      </c>
      <c r="Q19" s="336"/>
      <c r="R19" s="337"/>
      <c r="S19" s="334"/>
      <c r="T19" s="335" t="s">
        <v>222</v>
      </c>
      <c r="U19" s="336"/>
      <c r="V19" s="337"/>
      <c r="W19" s="338">
        <f t="shared" si="11"/>
        <v>0</v>
      </c>
      <c r="X19" s="339"/>
      <c r="Y19" s="334">
        <f t="shared" si="12"/>
        <v>0</v>
      </c>
      <c r="Z19" s="335" t="s">
        <v>222</v>
      </c>
      <c r="AA19" s="340">
        <f t="shared" si="13"/>
        <v>0</v>
      </c>
      <c r="AB19" s="341">
        <f t="shared" si="14"/>
        <v>0</v>
      </c>
      <c r="AD19" s="211">
        <f t="shared" si="15"/>
        <v>241</v>
      </c>
      <c r="AE19" s="212">
        <f>IFERROR(INDEX(V!$R:$R,MATCH(AF19,V!$L:$L,0)),"")</f>
        <v>98</v>
      </c>
      <c r="AF19" s="213" t="str">
        <f t="shared" si="5"/>
        <v>Annaliset Neiland</v>
      </c>
      <c r="AG19" s="212">
        <f>IFERROR(INDEX(V!$R:$R,MATCH(AH19,V!$L:$L,0)),"")</f>
        <v>143</v>
      </c>
      <c r="AH19" s="213" t="str">
        <f t="shared" si="6"/>
        <v>Hillar Neiland</v>
      </c>
      <c r="AI19" s="212" t="str">
        <f>IFERROR(INDEX(V!$R:$R,MATCH(AJ19,V!$L:$L,0)),"")</f>
        <v/>
      </c>
      <c r="AJ19" s="213" t="str">
        <f t="shared" si="7"/>
        <v/>
      </c>
      <c r="AK19" s="212" t="str">
        <f>IFERROR(INDEX(V!$R:$R,MATCH(AL19,V!$L:$L,0)),"")</f>
        <v/>
      </c>
      <c r="AL19" s="213" t="str">
        <f t="shared" si="8"/>
        <v/>
      </c>
      <c r="AM19" s="212" t="str">
        <f>IFERROR(INDEX(V!$R:$R,MATCH(AN19,V!$L:$L,0)),"")</f>
        <v/>
      </c>
      <c r="AN19" s="213" t="str">
        <f t="shared" si="9"/>
        <v/>
      </c>
      <c r="AO19" s="212" t="str">
        <f>IFERROR(INDEX(V!$R:$R,MATCH(AP19,V!$L:$L,0)),"")</f>
        <v/>
      </c>
      <c r="AP19" s="213" t="str">
        <f t="shared" si="10"/>
        <v/>
      </c>
    </row>
    <row r="20" spans="1:42" hidden="1" x14ac:dyDescent="0.2"/>
    <row r="21" spans="1:42" hidden="1" x14ac:dyDescent="0.2"/>
    <row r="22" spans="1:42" hidden="1" x14ac:dyDescent="0.2"/>
    <row r="23" spans="1:42" hidden="1" x14ac:dyDescent="0.2"/>
    <row r="24" spans="1:42" hidden="1" x14ac:dyDescent="0.2"/>
    <row r="26" spans="1:42" hidden="1" x14ac:dyDescent="0.2"/>
    <row r="27" spans="1:42" hidden="1" x14ac:dyDescent="0.2"/>
    <row r="28" spans="1:42" hidden="1" x14ac:dyDescent="0.2"/>
    <row r="29" spans="1:42" hidden="1" x14ac:dyDescent="0.2"/>
    <row r="30" spans="1:42" hidden="1" x14ac:dyDescent="0.2"/>
    <row r="31" spans="1:42" hidden="1" x14ac:dyDescent="0.2"/>
    <row r="32" spans="1:4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14" hidden="1" x14ac:dyDescent="0.2"/>
    <row r="290" spans="1:14" hidden="1" x14ac:dyDescent="0.2"/>
    <row r="291" spans="1:14" hidden="1" x14ac:dyDescent="0.2"/>
    <row r="292" spans="1:14" hidden="1" x14ac:dyDescent="0.2"/>
    <row r="293" spans="1:14" hidden="1" x14ac:dyDescent="0.2"/>
    <row r="294" spans="1:14" hidden="1" x14ac:dyDescent="0.2"/>
    <row r="295" spans="1:14" hidden="1" x14ac:dyDescent="0.2"/>
    <row r="297" spans="1:14" x14ac:dyDescent="0.2">
      <c r="C297" s="1" t="s">
        <v>79</v>
      </c>
    </row>
    <row r="298" spans="1:14" x14ac:dyDescent="0.2">
      <c r="A298" s="301">
        <v>1</v>
      </c>
      <c r="B298" s="344" t="str">
        <f>IFERROR(INDEX(B$1:B$98,MATCH(A298,A$1:A$98,0)),"")</f>
        <v>Oksana Rõndenkova, Oleg Rõndenkov</v>
      </c>
      <c r="C298" s="274">
        <v>4</v>
      </c>
      <c r="N298" s="210"/>
    </row>
    <row r="299" spans="1:14" x14ac:dyDescent="0.2">
      <c r="A299" s="301">
        <v>2</v>
      </c>
      <c r="B299" s="344" t="str">
        <f>IFERROR(INDEX(B$1:B$98,MATCH(A299,A$1:A$98,0)),"")</f>
        <v>Johannes Neiland, Tõnis Neiland</v>
      </c>
      <c r="C299" s="274">
        <v>4</v>
      </c>
      <c r="N299" s="210"/>
    </row>
    <row r="300" spans="1:14" x14ac:dyDescent="0.2">
      <c r="A300" s="301">
        <v>3</v>
      </c>
      <c r="B300" s="344" t="str">
        <f>IFERROR(INDEX(B$1:B$98,MATCH(A300,A$1:A$98,0)),"")</f>
        <v>Enn Tokman, Kenneth Muusikus</v>
      </c>
      <c r="C300" s="274">
        <v>4</v>
      </c>
      <c r="N300" s="210"/>
    </row>
    <row r="301" spans="1:14" x14ac:dyDescent="0.2">
      <c r="A301" s="301">
        <v>4</v>
      </c>
      <c r="B301" s="344" t="str">
        <f>IFERROR(INDEX(B$1:B$98,MATCH(A301,A$1:A$98,0)),"")</f>
        <v>Kaspar Mänd, Matti Vinni</v>
      </c>
      <c r="C301" s="274">
        <v>4</v>
      </c>
      <c r="N301" s="210"/>
    </row>
    <row r="302" spans="1:14" x14ac:dyDescent="0.2">
      <c r="A302" s="301">
        <v>5</v>
      </c>
      <c r="B302" s="344" t="str">
        <f t="shared" ref="B302:B305" si="16">IFERROR(INDEX(B$1:B$98,MATCH(A302,A$1:A$98,0)),"")</f>
        <v>Henri Mitt, Illar Tõnurist</v>
      </c>
      <c r="C302" s="274">
        <v>3</v>
      </c>
      <c r="N302" s="210"/>
    </row>
    <row r="303" spans="1:14" x14ac:dyDescent="0.2">
      <c r="A303" s="301">
        <v>6</v>
      </c>
      <c r="B303" s="344" t="str">
        <f t="shared" si="16"/>
        <v>Aarne Välja, Janek Tarto</v>
      </c>
      <c r="C303" s="274">
        <v>3</v>
      </c>
      <c r="N303" s="210"/>
    </row>
    <row r="304" spans="1:14" x14ac:dyDescent="0.2">
      <c r="A304" s="301">
        <v>7</v>
      </c>
      <c r="B304" s="344" t="str">
        <f t="shared" si="16"/>
        <v>Elmo Lageda, Sirje Maala</v>
      </c>
      <c r="C304" s="274">
        <v>3</v>
      </c>
      <c r="N304" s="210"/>
    </row>
    <row r="305" spans="1:14" x14ac:dyDescent="0.2">
      <c r="A305" s="301">
        <v>8</v>
      </c>
      <c r="B305" s="344" t="str">
        <f t="shared" si="16"/>
        <v>Jaan Sepp, Oskar Sepp</v>
      </c>
      <c r="C305" s="274">
        <v>2</v>
      </c>
      <c r="N305" s="210"/>
    </row>
    <row r="306" spans="1:14" x14ac:dyDescent="0.2">
      <c r="A306" s="301">
        <v>9</v>
      </c>
      <c r="B306" s="344" t="str">
        <f>IFERROR(INDEX(B$1:B$98,MATCH(A306,A$1:A$98,0)),"")</f>
        <v>Aleksander Korikov, Jevgeni Korikov</v>
      </c>
      <c r="C306" s="274">
        <v>2</v>
      </c>
      <c r="N306" s="210"/>
    </row>
    <row r="307" spans="1:14" x14ac:dyDescent="0.2">
      <c r="A307" s="301">
        <v>10</v>
      </c>
      <c r="B307" s="344" t="str">
        <f>IFERROR(INDEX(B$1:B$98,MATCH(A307,A$1:A$98,0)),"")</f>
        <v>Andres Veski, Svetlana Veski</v>
      </c>
      <c r="C307" s="274">
        <v>2</v>
      </c>
      <c r="N307" s="210"/>
    </row>
    <row r="308" spans="1:14" x14ac:dyDescent="0.2">
      <c r="A308" s="301">
        <v>11</v>
      </c>
      <c r="B308" s="344" t="str">
        <f t="shared" ref="B308:B310" si="17">IFERROR(INDEX(B$1:B$98,MATCH(A308,A$1:A$98,0)),"")</f>
        <v>Lemmit Toomra, Tõnu Kapper</v>
      </c>
      <c r="C308" s="292">
        <v>2</v>
      </c>
    </row>
    <row r="309" spans="1:14" x14ac:dyDescent="0.2">
      <c r="A309" s="301">
        <v>12</v>
      </c>
      <c r="B309" s="344" t="str">
        <f t="shared" si="17"/>
        <v>Jaan Saar, Sander Rose</v>
      </c>
      <c r="C309" s="292">
        <v>2</v>
      </c>
    </row>
    <row r="310" spans="1:14" x14ac:dyDescent="0.2">
      <c r="A310" s="301">
        <v>13</v>
      </c>
      <c r="B310" s="344" t="str">
        <f t="shared" si="17"/>
        <v>Annaliset Neiland, Hillar Neiland</v>
      </c>
      <c r="C310" s="292">
        <v>1</v>
      </c>
    </row>
  </sheetData>
  <conditionalFormatting sqref="S7:S19 O7:O19 K7:K19 G7:G19 C7:C19">
    <cfRule type="expression" dxfId="663" priority="12">
      <formula>AND(C7=0,E7=13)</formula>
    </cfRule>
  </conditionalFormatting>
  <conditionalFormatting sqref="C7:C19">
    <cfRule type="expression" dxfId="662" priority="26">
      <formula>IF($C7&gt;$E7,TRUE)</formula>
    </cfRule>
  </conditionalFormatting>
  <conditionalFormatting sqref="E7:E19">
    <cfRule type="expression" dxfId="661" priority="27">
      <formula>IF($C7&lt;$E7,TRUE)</formula>
    </cfRule>
  </conditionalFormatting>
  <conditionalFormatting sqref="K7:K19">
    <cfRule type="expression" dxfId="660" priority="34">
      <formula>IF($K7&gt;$M7,TRUE)</formula>
    </cfRule>
  </conditionalFormatting>
  <conditionalFormatting sqref="M7:M19">
    <cfRule type="expression" dxfId="659" priority="35">
      <formula>IF($K7&lt;$M7,TRUE)</formula>
    </cfRule>
  </conditionalFormatting>
  <conditionalFormatting sqref="O7:O19">
    <cfRule type="expression" dxfId="658" priority="38">
      <formula>IF($O7&gt;$Q7,TRUE)</formula>
    </cfRule>
  </conditionalFormatting>
  <conditionalFormatting sqref="Q7:Q19">
    <cfRule type="expression" dxfId="657" priority="39">
      <formula>IF($O7&lt;$Q7,TRUE)</formula>
    </cfRule>
  </conditionalFormatting>
  <conditionalFormatting sqref="S7:S19">
    <cfRule type="expression" dxfId="656" priority="42">
      <formula>IF($S7&gt;$U7,TRUE)</formula>
    </cfRule>
  </conditionalFormatting>
  <conditionalFormatting sqref="U7:U19">
    <cfRule type="expression" dxfId="655" priority="43">
      <formula>IF($S7&lt;$U7,TRUE)</formula>
    </cfRule>
  </conditionalFormatting>
  <conditionalFormatting sqref="G7:G19">
    <cfRule type="expression" dxfId="654" priority="30">
      <formula>IF($G7&gt;$I7,TRUE)</formula>
    </cfRule>
  </conditionalFormatting>
  <conditionalFormatting sqref="I7:I19">
    <cfRule type="expression" dxfId="653" priority="31">
      <formula>IF($G7&lt;$I7,TRUE)</formula>
    </cfRule>
  </conditionalFormatting>
  <conditionalFormatting sqref="F7:F19 N9:N19 R9:R19 V9:V19 J9:J19">
    <cfRule type="containsText" dxfId="652" priority="17" operator="containsText" text="vaba voor">
      <formula>NOT(ISERROR(SEARCH("vaba voor",F7)))</formula>
    </cfRule>
  </conditionalFormatting>
  <conditionalFormatting sqref="N7:N8">
    <cfRule type="containsText" dxfId="651" priority="15" operator="containsText" text="vaba voor">
      <formula>NOT(ISERROR(SEARCH("vaba voor",N7)))</formula>
    </cfRule>
  </conditionalFormatting>
  <conditionalFormatting sqref="R7:R8">
    <cfRule type="containsText" dxfId="650" priority="18" operator="containsText" text="vaba voor">
      <formula>NOT(ISERROR(SEARCH("vaba voor",R7)))</formula>
    </cfRule>
  </conditionalFormatting>
  <conditionalFormatting sqref="V7:V8">
    <cfRule type="containsText" dxfId="649" priority="14" operator="containsText" text="vaba voor">
      <formula>NOT(ISERROR(SEARCH("vaba voor",V7)))</formula>
    </cfRule>
  </conditionalFormatting>
  <conditionalFormatting sqref="J7:J8">
    <cfRule type="containsText" dxfId="648" priority="16" operator="containsText" text="vaba voor">
      <formula>NOT(ISERROR(SEARCH("vaba voor",J7)))</formula>
    </cfRule>
  </conditionalFormatting>
  <conditionalFormatting sqref="C7:F19">
    <cfRule type="expression" dxfId="647" priority="22">
      <formula>IF(AND(ISNUMBER($C7),$C7=$E7),TRUE)</formula>
    </cfRule>
    <cfRule type="expression" dxfId="646" priority="24">
      <formula>IF($C7&gt;$E7,TRUE)</formula>
    </cfRule>
    <cfRule type="expression" dxfId="645" priority="25">
      <formula>IF($C7&lt;$E7,TRUE)</formula>
    </cfRule>
  </conditionalFormatting>
  <conditionalFormatting sqref="G7:J19">
    <cfRule type="expression" dxfId="644" priority="23">
      <formula>IF(AND(ISNUMBER($G7),$G7=$I7),TRUE)</formula>
    </cfRule>
    <cfRule type="expression" dxfId="643" priority="28">
      <formula>IF($G7&gt;$I7,TRUE)</formula>
    </cfRule>
    <cfRule type="expression" dxfId="642" priority="29">
      <formula>IF($G7&lt;$I7,TRUE)</formula>
    </cfRule>
  </conditionalFormatting>
  <conditionalFormatting sqref="K7:N19">
    <cfRule type="expression" dxfId="641" priority="21">
      <formula>IF(AND(ISNUMBER($K7),$K7=$M7),TRUE)</formula>
    </cfRule>
    <cfRule type="expression" dxfId="640" priority="32">
      <formula>IF($K7&gt;$M7,TRUE)</formula>
    </cfRule>
    <cfRule type="expression" dxfId="639" priority="33">
      <formula>IF($K7&lt;$M7,TRUE)</formula>
    </cfRule>
  </conditionalFormatting>
  <conditionalFormatting sqref="O7:R19">
    <cfRule type="expression" dxfId="638" priority="20">
      <formula>IF(AND(ISNUMBER($O7),$O7=$Q7),TRUE)</formula>
    </cfRule>
    <cfRule type="expression" dxfId="637" priority="36">
      <formula>IF($O7&gt;$Q7,TRUE)</formula>
    </cfRule>
    <cfRule type="expression" dxfId="636" priority="37">
      <formula>IF($O7&lt;$Q7,TRUE)</formula>
    </cfRule>
  </conditionalFormatting>
  <conditionalFormatting sqref="S7:V19">
    <cfRule type="expression" dxfId="635" priority="19">
      <formula>IF(AND(ISNUMBER($S7),$S7=$U7),TRUE)</formula>
    </cfRule>
    <cfRule type="expression" dxfId="634" priority="40">
      <formula>IF($S7&gt;$U7,TRUE)</formula>
    </cfRule>
    <cfRule type="expression" dxfId="633" priority="41">
      <formula>IF($S7&lt;$U7,TRUE)</formula>
    </cfRule>
  </conditionalFormatting>
  <conditionalFormatting sqref="U7:U19 Q7:Q19 M7:M19 I7:I19 E7:E19">
    <cfRule type="expression" dxfId="632" priority="13">
      <formula>AND(E7=0,C7=13)</formula>
    </cfRule>
  </conditionalFormatting>
  <conditionalFormatting sqref="AJ7:AJ19 AH9:AH19 AL9:AL19">
    <cfRule type="expression" dxfId="631" priority="5">
      <formula>AND(AG7="",FIND(",",AH7))</formula>
    </cfRule>
    <cfRule type="expression" dxfId="630" priority="7">
      <formula>AND(AG7="",COUNTIF(AH7,"*,*")=0)</formula>
    </cfRule>
  </conditionalFormatting>
  <conditionalFormatting sqref="AH7:AH8">
    <cfRule type="expression" dxfId="629" priority="8">
      <formula>AND(AG7="",FIND(",",AH7))</formula>
    </cfRule>
    <cfRule type="expression" dxfId="628" priority="9">
      <formula>AND(AG7="",COUNTIF(AH7,"*,*")=0)</formula>
    </cfRule>
  </conditionalFormatting>
  <conditionalFormatting sqref="AL7:AL8">
    <cfRule type="expression" dxfId="627" priority="10">
      <formula>AND(AK7="",FIND(",",AL7))</formula>
    </cfRule>
    <cfRule type="expression" dxfId="626" priority="11">
      <formula>AND(AK7="",COUNTIF(AL7,"*,*")=0)</formula>
    </cfRule>
  </conditionalFormatting>
  <conditionalFormatting sqref="AF7:AF19">
    <cfRule type="expression" dxfId="625" priority="6">
      <formula>AND(AE7="",COUNTIF(AF7,"*,*")=0)</formula>
    </cfRule>
  </conditionalFormatting>
  <conditionalFormatting sqref="AN7:AN19 AP9:AP19">
    <cfRule type="expression" dxfId="624" priority="2">
      <formula>AND(AM7="",COUNTIF(AN7,"*,*")=0)</formula>
    </cfRule>
    <cfRule type="expression" dxfId="623" priority="4">
      <formula>AND(AM7="",FIND(",",AN7))</formula>
    </cfRule>
  </conditionalFormatting>
  <conditionalFormatting sqref="AP7:AP8">
    <cfRule type="expression" dxfId="622" priority="1">
      <formula>AND(AO7="",COUNTIF(AP7,"*,*")=0)</formula>
    </cfRule>
    <cfRule type="expression" dxfId="621" priority="3">
      <formula>AND(AO7="",FIND(",",AP7))</formula>
    </cfRule>
  </conditionalFormatting>
  <conditionalFormatting sqref="B298:B310">
    <cfRule type="expression" dxfId="620" priority="45">
      <formula>A298=3</formula>
    </cfRule>
    <cfRule type="expression" dxfId="619" priority="46">
      <formula>A298=2</formula>
    </cfRule>
    <cfRule type="expression" dxfId="618" priority="47">
      <formula>A298=1</formula>
    </cfRule>
    <cfRule type="containsBlanks" dxfId="617" priority="48">
      <formula>LEN(TRIM(B298))=0</formula>
    </cfRule>
    <cfRule type="duplicateValues" dxfId="616" priority="49"/>
  </conditionalFormatting>
  <conditionalFormatting sqref="A298:A310">
    <cfRule type="duplicateValues" dxfId="615" priority="50"/>
  </conditionalFormatting>
  <conditionalFormatting sqref="A7:A19">
    <cfRule type="duplicateValues" dxfId="614" priority="1146"/>
  </conditionalFormatting>
  <pageMargins left="0.78740157480314965" right="0.39370078740157483" top="0.78740157480314965" bottom="0.27559055118110237" header="0.78740157480314965" footer="0"/>
  <pageSetup paperSize="9" fitToHeight="0" orientation="landscape" verticalDpi="1200" r:id="rId1"/>
  <headerFooter>
    <oddHeader>&amp;R&amp;P. leht &amp;N&amp; -st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06"/>
  <sheetViews>
    <sheetView showGridLines="0" showRowColHeaders="0" workbookViewId="0">
      <pane ySplit="1" topLeftCell="A2" activePane="bottomLeft" state="frozen"/>
      <selection pane="bottomLeft" activeCell="A5" sqref="A5"/>
    </sheetView>
  </sheetViews>
  <sheetFormatPr defaultRowHeight="12.75" x14ac:dyDescent="0.2"/>
  <cols>
    <col min="1" max="1" width="3.28515625" style="1" customWidth="1"/>
    <col min="2" max="2" width="46.85546875" style="1" bestFit="1" customWidth="1"/>
    <col min="3" max="3" width="4.7109375" style="1" customWidth="1"/>
    <col min="4" max="4" width="1.140625" style="1" customWidth="1"/>
    <col min="5" max="5" width="2.7109375" style="1" customWidth="1"/>
    <col min="6" max="6" width="9.140625" style="1"/>
    <col min="7" max="7" width="2.7109375" style="1" customWidth="1"/>
    <col min="8" max="8" width="1.140625" style="1" customWidth="1"/>
    <col min="9" max="9" width="2.7109375" style="1" customWidth="1"/>
    <col min="10" max="10" width="9.140625" style="1"/>
    <col min="11" max="11" width="2.7109375" style="1" customWidth="1"/>
    <col min="12" max="12" width="1.140625" style="1" customWidth="1"/>
    <col min="13" max="13" width="2.7109375" style="1" customWidth="1"/>
    <col min="14" max="14" width="9.140625" style="1"/>
    <col min="15" max="15" width="2.7109375" style="1" customWidth="1"/>
    <col min="16" max="16" width="1.140625" style="1" customWidth="1"/>
    <col min="17" max="17" width="2.7109375" style="1" customWidth="1"/>
    <col min="18" max="18" width="9.140625" style="1"/>
    <col min="19" max="19" width="2.7109375" style="1" customWidth="1"/>
    <col min="20" max="20" width="1.140625" style="1" customWidth="1"/>
    <col min="21" max="21" width="2.7109375" style="1" customWidth="1"/>
    <col min="22" max="22" width="9.140625" style="1"/>
    <col min="23" max="23" width="5.7109375" style="1" bestFit="1" customWidth="1"/>
    <col min="24" max="24" width="5.5703125" style="1" hidden="1" customWidth="1"/>
    <col min="25" max="25" width="2.7109375" style="1" customWidth="1"/>
    <col min="26" max="26" width="1.140625" style="1" customWidth="1"/>
    <col min="27" max="27" width="2.7109375" style="1" customWidth="1"/>
    <col min="28" max="28" width="4.7109375" style="1" customWidth="1"/>
    <col min="29" max="29" width="9.140625" style="1"/>
    <col min="30" max="31" width="9.140625" style="1" hidden="1" customWidth="1"/>
    <col min="32" max="32" width="15.5703125" style="1" hidden="1" customWidth="1"/>
    <col min="33" max="33" width="9.140625" style="1" hidden="1" customWidth="1"/>
    <col min="34" max="34" width="33.28515625" style="1" hidden="1" customWidth="1"/>
    <col min="35" max="35" width="9.140625" style="1" hidden="1" customWidth="1"/>
    <col min="36" max="36" width="18.28515625" style="1" hidden="1" customWidth="1"/>
    <col min="37" max="37" width="9.140625" style="1" hidden="1" customWidth="1"/>
    <col min="38" max="38" width="15.28515625" style="1" hidden="1" customWidth="1"/>
    <col min="39" max="39" width="9.140625" style="1" hidden="1" customWidth="1"/>
    <col min="40" max="40" width="17.28515625" style="1" hidden="1" customWidth="1"/>
    <col min="41" max="41" width="9.140625" style="1" hidden="1" customWidth="1"/>
    <col min="42" max="42" width="13.85546875" style="1" hidden="1" customWidth="1"/>
    <col min="43" max="16384" width="9.140625" style="1"/>
  </cols>
  <sheetData>
    <row r="1" spans="1:42" x14ac:dyDescent="0.2">
      <c r="A1" s="206" t="str">
        <f>UPPER((Kalend!E16)&amp;" - "&amp;(Kalend!C16))&amp;" - "&amp;LOWER(Kalend!D16)&amp;" - "&amp;(Kalend!A16)&amp;" kell "&amp;(Kalend!B16)&amp;" - "&amp;(Kalend!F16)</f>
        <v>V4 - VOKA IV SISE-KV 4. ETAPP - trio - P, 30.01.2022 kell 11:00 - Voka petangihall</v>
      </c>
      <c r="O1" s="157"/>
      <c r="P1" s="157"/>
      <c r="Q1" s="187"/>
      <c r="R1" s="187"/>
      <c r="S1" s="187"/>
      <c r="T1" s="40"/>
      <c r="U1" s="40"/>
      <c r="V1" s="40"/>
      <c r="W1" s="157"/>
      <c r="X1" s="303"/>
      <c r="Y1" s="157"/>
      <c r="Z1" s="157"/>
      <c r="AD1" s="44" t="s">
        <v>71</v>
      </c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303"/>
      <c r="AP1" s="303"/>
    </row>
    <row r="2" spans="1:42" x14ac:dyDescent="0.2">
      <c r="F2" s="157"/>
      <c r="L2" s="214"/>
      <c r="M2" s="214"/>
      <c r="N2" s="214"/>
      <c r="O2" s="157"/>
      <c r="P2" s="157"/>
      <c r="Q2" s="157"/>
      <c r="R2" s="157"/>
      <c r="S2" s="157"/>
      <c r="T2" s="214"/>
      <c r="U2" s="214"/>
      <c r="V2" s="215" t="s">
        <v>195</v>
      </c>
      <c r="W2" s="216">
        <v>1</v>
      </c>
      <c r="Y2" s="217" t="s">
        <v>196</v>
      </c>
      <c r="Z2" s="157"/>
      <c r="AD2" s="157"/>
      <c r="AE2" s="157"/>
      <c r="AF2" s="157"/>
      <c r="AG2" s="157"/>
      <c r="AH2" s="157"/>
      <c r="AI2" s="157"/>
      <c r="AJ2" s="217"/>
      <c r="AK2" s="157"/>
      <c r="AL2" s="157"/>
      <c r="AM2" s="157"/>
      <c r="AN2" s="157"/>
    </row>
    <row r="3" spans="1:42" x14ac:dyDescent="0.2">
      <c r="F3" s="157"/>
      <c r="L3" s="214"/>
      <c r="M3" s="214"/>
      <c r="N3" s="214"/>
      <c r="O3" s="157"/>
      <c r="P3" s="157"/>
      <c r="Q3" s="157"/>
      <c r="R3" s="157"/>
      <c r="S3" s="157"/>
      <c r="T3" s="214"/>
      <c r="U3" s="214"/>
      <c r="V3" s="218" t="s">
        <v>197</v>
      </c>
      <c r="W3" s="216">
        <v>0.5</v>
      </c>
      <c r="Y3" s="217" t="s">
        <v>196</v>
      </c>
      <c r="Z3" s="157"/>
      <c r="AE3" s="157"/>
      <c r="AG3" s="157"/>
      <c r="AH3" s="157"/>
      <c r="AI3" s="157"/>
      <c r="AJ3" s="157"/>
      <c r="AK3" s="157"/>
      <c r="AL3" s="157"/>
      <c r="AM3" s="157"/>
      <c r="AN3" s="157"/>
    </row>
    <row r="4" spans="1:42" x14ac:dyDescent="0.2">
      <c r="F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219" t="s">
        <v>198</v>
      </c>
      <c r="W4" s="216">
        <v>0</v>
      </c>
      <c r="Y4" s="217" t="s">
        <v>196</v>
      </c>
      <c r="Z4" s="157"/>
      <c r="AA4" s="157"/>
      <c r="AE4" s="214"/>
      <c r="AF4" s="214"/>
      <c r="AG4" s="214"/>
      <c r="AH4" s="205"/>
      <c r="AI4" s="214"/>
      <c r="AJ4" s="214"/>
      <c r="AK4" s="214"/>
      <c r="AL4" s="214"/>
      <c r="AM4" s="214"/>
      <c r="AN4" s="214"/>
      <c r="AO4" s="214"/>
      <c r="AP4" s="214"/>
    </row>
    <row r="5" spans="1:42" x14ac:dyDescent="0.2">
      <c r="F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363" t="s">
        <v>231</v>
      </c>
      <c r="AC5" s="157"/>
      <c r="AD5" s="360" t="s">
        <v>176</v>
      </c>
    </row>
    <row r="6" spans="1:42" x14ac:dyDescent="0.2">
      <c r="A6" s="326" t="s">
        <v>10</v>
      </c>
      <c r="B6" s="326" t="s">
        <v>58</v>
      </c>
      <c r="C6" s="327" t="s">
        <v>133</v>
      </c>
      <c r="D6" s="328"/>
      <c r="E6" s="328"/>
      <c r="F6" s="329"/>
      <c r="G6" s="327" t="s">
        <v>136</v>
      </c>
      <c r="H6" s="328"/>
      <c r="I6" s="328"/>
      <c r="J6" s="329"/>
      <c r="K6" s="327" t="s">
        <v>139</v>
      </c>
      <c r="L6" s="328"/>
      <c r="M6" s="328"/>
      <c r="N6" s="329"/>
      <c r="O6" s="327" t="s">
        <v>142</v>
      </c>
      <c r="P6" s="328"/>
      <c r="Q6" s="328"/>
      <c r="R6" s="329"/>
      <c r="S6" s="327" t="s">
        <v>144</v>
      </c>
      <c r="T6" s="328"/>
      <c r="U6" s="328"/>
      <c r="V6" s="329"/>
      <c r="W6" s="326" t="s">
        <v>79</v>
      </c>
      <c r="X6" s="330" t="s">
        <v>220</v>
      </c>
      <c r="Y6" s="330"/>
      <c r="Z6" s="331" t="s">
        <v>221</v>
      </c>
      <c r="AA6" s="332"/>
      <c r="AB6" s="157"/>
      <c r="AC6" s="157"/>
      <c r="AD6" s="158" t="s">
        <v>224</v>
      </c>
      <c r="AE6" s="159"/>
      <c r="AF6" s="159" t="s">
        <v>191</v>
      </c>
      <c r="AG6" s="159"/>
      <c r="AH6" s="209" t="s">
        <v>192</v>
      </c>
      <c r="AI6" s="159"/>
      <c r="AJ6" s="159" t="s">
        <v>193</v>
      </c>
      <c r="AK6" s="160"/>
      <c r="AL6" s="159" t="s">
        <v>194</v>
      </c>
      <c r="AM6" s="160"/>
      <c r="AN6" s="160" t="s">
        <v>229</v>
      </c>
      <c r="AO6" s="359"/>
      <c r="AP6" s="160" t="s">
        <v>230</v>
      </c>
    </row>
    <row r="7" spans="1:42" x14ac:dyDescent="0.2">
      <c r="A7" s="333">
        <v>1</v>
      </c>
      <c r="B7" s="395" t="s">
        <v>264</v>
      </c>
      <c r="C7" s="334"/>
      <c r="D7" s="335" t="s">
        <v>222</v>
      </c>
      <c r="E7" s="336"/>
      <c r="F7" s="337"/>
      <c r="G7" s="334"/>
      <c r="H7" s="335" t="s">
        <v>222</v>
      </c>
      <c r="I7" s="336"/>
      <c r="J7" s="337"/>
      <c r="K7" s="334"/>
      <c r="L7" s="335" t="s">
        <v>222</v>
      </c>
      <c r="M7" s="336"/>
      <c r="N7" s="337"/>
      <c r="O7" s="334"/>
      <c r="P7" s="335" t="s">
        <v>222</v>
      </c>
      <c r="Q7" s="336"/>
      <c r="R7" s="337"/>
      <c r="S7" s="334"/>
      <c r="T7" s="335" t="s">
        <v>222</v>
      </c>
      <c r="U7" s="336"/>
      <c r="V7" s="337"/>
      <c r="W7" s="338">
        <f t="shared" ref="W7:W13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0</v>
      </c>
      <c r="X7" s="339"/>
      <c r="Y7" s="334">
        <f>C7+G7+K7+O7+S7</f>
        <v>0</v>
      </c>
      <c r="Z7" s="335" t="s">
        <v>222</v>
      </c>
      <c r="AA7" s="340">
        <f>E7+I7+M7+Q7+U7</f>
        <v>0</v>
      </c>
      <c r="AB7" s="341">
        <f>Y7-AA7</f>
        <v>0</v>
      </c>
      <c r="AD7" s="211">
        <f>SUM(AE7:AP7)</f>
        <v>391</v>
      </c>
      <c r="AE7" s="212">
        <f>IFERROR(INDEX(V!$R:$R,MATCH(AF7,V!$L:$L,0)),"")</f>
        <v>159</v>
      </c>
      <c r="AF7" s="213" t="str">
        <f>IFERROR(LEFT($B7,(FIND(",",$B7,1)-1)),"")</f>
        <v>Henri Mitt</v>
      </c>
      <c r="AG7" s="212" t="str">
        <f>IFERROR(INDEX(V!$R:$R,MATCH(AH7,V!$L:$L,0)),"")</f>
        <v/>
      </c>
      <c r="AH7" s="213" t="str">
        <f>IFERROR(MID($B7,FIND(", ",$B7)+2,256),"")</f>
        <v>Oksana Rõndenkova, Oleg Rõndenkov</v>
      </c>
      <c r="AI7" s="212">
        <f>IFERROR(INDEX(V!$R:$R,MATCH(AJ7,V!$L:$L,0)),"")</f>
        <v>115</v>
      </c>
      <c r="AJ7" s="213" t="str">
        <f>IFERROR(MID($B7,FIND("^",SUBSTITUTE($B7,", ","^",1))+2,FIND("^",SUBSTITUTE($B7,", ","^",2))-FIND("^",SUBSTITUTE($B7,", ","^",1))-2),"")</f>
        <v>Oksana Rõndenkova</v>
      </c>
      <c r="AK7" s="212">
        <f>IFERROR(INDEX(V!$R:$R,MATCH(AL7,V!$L:$L,0)),"")</f>
        <v>117</v>
      </c>
      <c r="AL7" s="213" t="str">
        <f>IFERROR(MID($B7,FIND(", ",$B7,FIND(", ",$B7,FIND(", ",$B7))+1)+2,30000),"")</f>
        <v>Oleg Rõndenkov</v>
      </c>
      <c r="AM7" s="212" t="str">
        <f>IFERROR(INDEX(V!$R:$R,MATCH(AN7,V!$L:$L,0)),"")</f>
        <v/>
      </c>
      <c r="AN7" s="213" t="str">
        <f>IFERROR(MID($B7,FIND(", ",$B7,FIND(", ",$B7)+1)+2,FIND(", ",$B7,FIND(", ",$B7,FIND(", ",$B7)+1)+1)-FIND(", ",$B7,FIND(", ",$B7)+1)-2),"")</f>
        <v/>
      </c>
      <c r="AO7" s="212" t="str">
        <f>IFERROR(INDEX(V!$R:$R,MATCH(AP7,V!$L:$L,0)),"")</f>
        <v/>
      </c>
      <c r="AP7" s="213" t="str">
        <f>IFERROR(MID($B7,FIND(", ",$B7,FIND(", ",$B7,FIND(", ",$B7)+1)+1)+2,30000),"")</f>
        <v/>
      </c>
    </row>
    <row r="8" spans="1:42" x14ac:dyDescent="0.2">
      <c r="A8" s="333">
        <v>2</v>
      </c>
      <c r="B8" s="241" t="s">
        <v>278</v>
      </c>
      <c r="C8" s="334"/>
      <c r="D8" s="335" t="s">
        <v>222</v>
      </c>
      <c r="E8" s="336"/>
      <c r="F8" s="337"/>
      <c r="G8" s="334"/>
      <c r="H8" s="335" t="s">
        <v>222</v>
      </c>
      <c r="I8" s="336"/>
      <c r="J8" s="337"/>
      <c r="K8" s="334"/>
      <c r="L8" s="335" t="s">
        <v>222</v>
      </c>
      <c r="M8" s="336"/>
      <c r="N8" s="337"/>
      <c r="O8" s="334"/>
      <c r="P8" s="335" t="s">
        <v>222</v>
      </c>
      <c r="Q8" s="336"/>
      <c r="R8" s="337"/>
      <c r="S8" s="334"/>
      <c r="T8" s="335" t="s">
        <v>222</v>
      </c>
      <c r="U8" s="336"/>
      <c r="V8" s="337"/>
      <c r="W8" s="338">
        <f t="shared" si="0"/>
        <v>0</v>
      </c>
      <c r="X8" s="339"/>
      <c r="Y8" s="334">
        <f t="shared" ref="Y8:Y13" si="1">C8+G8+K8+O8+S8</f>
        <v>0</v>
      </c>
      <c r="Z8" s="335" t="s">
        <v>222</v>
      </c>
      <c r="AA8" s="340">
        <f t="shared" ref="AA8:AA13" si="2">E8+I8+M8+Q8+U8</f>
        <v>0</v>
      </c>
      <c r="AB8" s="341">
        <f t="shared" ref="AB8:AB13" si="3">Y8-AA8</f>
        <v>0</v>
      </c>
      <c r="AC8" s="210"/>
      <c r="AD8" s="211">
        <f t="shared" ref="AD8:AD11" si="4">SUM(AE8:AL8)</f>
        <v>394</v>
      </c>
      <c r="AE8" s="212">
        <f>IFERROR(INDEX(V!$R:$R,MATCH(AF8,V!$L:$L,0)),"")</f>
        <v>98</v>
      </c>
      <c r="AF8" s="213" t="str">
        <f t="shared" ref="AF8:AF13" si="5">IFERROR(LEFT($B8,(FIND(",",$B8,1)-1)),"")</f>
        <v>Annaliset Neiland</v>
      </c>
      <c r="AG8" s="212" t="str">
        <f>IFERROR(INDEX(V!$R:$R,MATCH(AH8,V!$L:$L,0)),"")</f>
        <v/>
      </c>
      <c r="AH8" s="213" t="str">
        <f t="shared" ref="AH8:AH13" si="6">IFERROR(MID($B8,FIND(", ",$B8)+2,256),"")</f>
        <v>Hillar Neiland, Kaspar Mänd</v>
      </c>
      <c r="AI8" s="212">
        <f>IFERROR(INDEX(V!$R:$R,MATCH(AJ8,V!$L:$L,0)),"")</f>
        <v>143</v>
      </c>
      <c r="AJ8" s="213" t="str">
        <f t="shared" ref="AJ8:AJ13" si="7">IFERROR(MID($B8,FIND("^",SUBSTITUTE($B8,", ","^",1))+2,FIND("^",SUBSTITUTE($B8,", ","^",2))-FIND("^",SUBSTITUTE($B8,", ","^",1))-2),"")</f>
        <v>Hillar Neiland</v>
      </c>
      <c r="AK8" s="212">
        <f>IFERROR(INDEX(V!$R:$R,MATCH(AL8,V!$L:$L,0)),"")</f>
        <v>153</v>
      </c>
      <c r="AL8" s="213" t="str">
        <f t="shared" ref="AL8:AL13" si="8">IFERROR(MID($B8,FIND(", ",$B8,FIND(", ",$B8,FIND(", ",$B8))+1)+2,30000),"")</f>
        <v>Kaspar Mänd</v>
      </c>
      <c r="AM8" s="212" t="str">
        <f>IFERROR(INDEX(V!$R:$R,MATCH(AN8,V!$L:$L,0)),"")</f>
        <v/>
      </c>
      <c r="AN8" s="213" t="str">
        <f t="shared" ref="AN8:AN13" si="9">IFERROR(MID($B8,FIND(", ",$B8,FIND(", ",$B8)+1)+2,FIND(", ",$B8,FIND(", ",$B8,FIND(", ",$B8)+1)+1)-FIND(", ",$B8,FIND(", ",$B8)+1)-2),"")</f>
        <v/>
      </c>
      <c r="AO8" s="212" t="str">
        <f>IFERROR(INDEX(V!$R:$R,MATCH(AP8,V!$L:$L,0)),"")</f>
        <v/>
      </c>
      <c r="AP8" s="213" t="str">
        <f t="shared" ref="AP8:AP13" si="10">IFERROR(MID($B8,FIND(", ",$B8,FIND(", ",$B8,FIND(", ",$B8)+1)+1)+2,30000),"")</f>
        <v/>
      </c>
    </row>
    <row r="9" spans="1:42" x14ac:dyDescent="0.2">
      <c r="A9" s="333">
        <v>3</v>
      </c>
      <c r="B9" s="255" t="s">
        <v>274</v>
      </c>
      <c r="C9" s="334"/>
      <c r="D9" s="335" t="s">
        <v>222</v>
      </c>
      <c r="E9" s="336"/>
      <c r="F9" s="337"/>
      <c r="G9" s="334"/>
      <c r="H9" s="335" t="s">
        <v>222</v>
      </c>
      <c r="I9" s="336"/>
      <c r="J9" s="337"/>
      <c r="K9" s="334"/>
      <c r="L9" s="335" t="s">
        <v>222</v>
      </c>
      <c r="M9" s="336"/>
      <c r="N9" s="337"/>
      <c r="O9" s="334"/>
      <c r="P9" s="335" t="s">
        <v>222</v>
      </c>
      <c r="Q9" s="336"/>
      <c r="R9" s="337"/>
      <c r="S9" s="334"/>
      <c r="T9" s="335" t="s">
        <v>222</v>
      </c>
      <c r="U9" s="336"/>
      <c r="V9" s="337"/>
      <c r="W9" s="338">
        <f t="shared" si="0"/>
        <v>0</v>
      </c>
      <c r="X9" s="339"/>
      <c r="Y9" s="334">
        <f t="shared" si="1"/>
        <v>0</v>
      </c>
      <c r="Z9" s="335" t="s">
        <v>222</v>
      </c>
      <c r="AA9" s="340">
        <f t="shared" si="2"/>
        <v>0</v>
      </c>
      <c r="AB9" s="341">
        <f t="shared" si="3"/>
        <v>0</v>
      </c>
      <c r="AC9" s="210"/>
      <c r="AD9" s="211">
        <f t="shared" si="4"/>
        <v>278</v>
      </c>
      <c r="AE9" s="212">
        <f>IFERROR(INDEX(V!$R:$R,MATCH(AF9,V!$L:$L,0)),"")</f>
        <v>25</v>
      </c>
      <c r="AF9" s="213" t="str">
        <f t="shared" si="5"/>
        <v>Illar Tõnurist</v>
      </c>
      <c r="AG9" s="212" t="str">
        <f>IFERROR(INDEX(V!$R:$R,MATCH(AH9,V!$L:$L,0)),"")</f>
        <v/>
      </c>
      <c r="AH9" s="213" t="str">
        <f t="shared" si="6"/>
        <v>Jaan Saar, Sander Rose</v>
      </c>
      <c r="AI9" s="212">
        <f>IFERROR(INDEX(V!$R:$R,MATCH(AJ9,V!$L:$L,0)),"")</f>
        <v>143</v>
      </c>
      <c r="AJ9" s="213" t="str">
        <f t="shared" si="7"/>
        <v>Jaan Saar</v>
      </c>
      <c r="AK9" s="212">
        <f>IFERROR(INDEX(V!$R:$R,MATCH(AL9,V!$L:$L,0)),"")</f>
        <v>110</v>
      </c>
      <c r="AL9" s="213" t="str">
        <f t="shared" si="8"/>
        <v>Sander Rose</v>
      </c>
      <c r="AM9" s="212" t="str">
        <f>IFERROR(INDEX(V!$R:$R,MATCH(AN9,V!$L:$L,0)),"")</f>
        <v/>
      </c>
      <c r="AN9" s="213" t="str">
        <f t="shared" si="9"/>
        <v/>
      </c>
      <c r="AO9" s="212" t="str">
        <f>IFERROR(INDEX(V!$R:$R,MATCH(AP9,V!$L:$L,0)),"")</f>
        <v/>
      </c>
      <c r="AP9" s="213" t="str">
        <f t="shared" si="10"/>
        <v/>
      </c>
    </row>
    <row r="10" spans="1:42" x14ac:dyDescent="0.2">
      <c r="A10" s="333">
        <v>4</v>
      </c>
      <c r="B10" s="255" t="s">
        <v>275</v>
      </c>
      <c r="C10" s="334"/>
      <c r="D10" s="335" t="s">
        <v>222</v>
      </c>
      <c r="E10" s="336"/>
      <c r="F10" s="337"/>
      <c r="G10" s="334"/>
      <c r="H10" s="335" t="s">
        <v>222</v>
      </c>
      <c r="I10" s="336"/>
      <c r="J10" s="337"/>
      <c r="K10" s="334"/>
      <c r="L10" s="335" t="s">
        <v>222</v>
      </c>
      <c r="M10" s="336"/>
      <c r="N10" s="337"/>
      <c r="O10" s="334"/>
      <c r="P10" s="335" t="s">
        <v>222</v>
      </c>
      <c r="Q10" s="336"/>
      <c r="R10" s="337"/>
      <c r="S10" s="334"/>
      <c r="T10" s="335" t="s">
        <v>222</v>
      </c>
      <c r="U10" s="336"/>
      <c r="V10" s="337"/>
      <c r="W10" s="338">
        <f t="shared" si="0"/>
        <v>0</v>
      </c>
      <c r="X10" s="339"/>
      <c r="Y10" s="334">
        <f t="shared" si="1"/>
        <v>0</v>
      </c>
      <c r="Z10" s="335" t="s">
        <v>222</v>
      </c>
      <c r="AA10" s="340">
        <f t="shared" si="2"/>
        <v>0</v>
      </c>
      <c r="AB10" s="341">
        <f t="shared" si="3"/>
        <v>0</v>
      </c>
      <c r="AC10" s="210"/>
      <c r="AD10" s="211">
        <f t="shared" si="4"/>
        <v>251</v>
      </c>
      <c r="AE10" s="212">
        <f>IFERROR(INDEX(V!$R:$R,MATCH(AF10,V!$L:$L,0)),"")</f>
        <v>132</v>
      </c>
      <c r="AF10" s="213" t="str">
        <f t="shared" si="5"/>
        <v>Olav Türk</v>
      </c>
      <c r="AG10" s="212" t="str">
        <f>IFERROR(INDEX(V!$R:$R,MATCH(AH10,V!$L:$L,0)),"")</f>
        <v/>
      </c>
      <c r="AH10" s="213" t="str">
        <f t="shared" si="6"/>
        <v>Sirje Maala, Tarmo Bombe</v>
      </c>
      <c r="AI10" s="212">
        <f>IFERROR(INDEX(V!$R:$R,MATCH(AJ10,V!$L:$L,0)),"")</f>
        <v>103</v>
      </c>
      <c r="AJ10" s="213" t="str">
        <f t="shared" si="7"/>
        <v>Sirje Maala</v>
      </c>
      <c r="AK10" s="212">
        <f>IFERROR(INDEX(V!$R:$R,MATCH(AL10,V!$L:$L,0)),"")</f>
        <v>16</v>
      </c>
      <c r="AL10" s="213" t="str">
        <f t="shared" si="8"/>
        <v>Tarmo Bombe</v>
      </c>
      <c r="AM10" s="212" t="str">
        <f>IFERROR(INDEX(V!$R:$R,MATCH(AN10,V!$L:$L,0)),"")</f>
        <v/>
      </c>
      <c r="AN10" s="213" t="str">
        <f t="shared" si="9"/>
        <v/>
      </c>
      <c r="AO10" s="212" t="str">
        <f>IFERROR(INDEX(V!$R:$R,MATCH(AP10,V!$L:$L,0)),"")</f>
        <v/>
      </c>
      <c r="AP10" s="213" t="str">
        <f t="shared" si="10"/>
        <v/>
      </c>
    </row>
    <row r="11" spans="1:42" x14ac:dyDescent="0.2">
      <c r="A11" s="333">
        <v>5</v>
      </c>
      <c r="B11" s="241" t="s">
        <v>266</v>
      </c>
      <c r="C11" s="334"/>
      <c r="D11" s="335" t="s">
        <v>222</v>
      </c>
      <c r="E11" s="336"/>
      <c r="F11" s="337"/>
      <c r="G11" s="334"/>
      <c r="H11" s="335" t="s">
        <v>222</v>
      </c>
      <c r="I11" s="336"/>
      <c r="J11" s="337"/>
      <c r="K11" s="334"/>
      <c r="L11" s="335" t="s">
        <v>222</v>
      </c>
      <c r="M11" s="336"/>
      <c r="N11" s="337"/>
      <c r="O11" s="334"/>
      <c r="P11" s="335" t="s">
        <v>222</v>
      </c>
      <c r="Q11" s="336"/>
      <c r="R11" s="337"/>
      <c r="S11" s="334"/>
      <c r="T11" s="335" t="s">
        <v>222</v>
      </c>
      <c r="U11" s="336"/>
      <c r="V11" s="337"/>
      <c r="W11" s="338">
        <f t="shared" si="0"/>
        <v>0</v>
      </c>
      <c r="X11" s="339"/>
      <c r="Y11" s="334">
        <f t="shared" si="1"/>
        <v>0</v>
      </c>
      <c r="Z11" s="335" t="s">
        <v>222</v>
      </c>
      <c r="AA11" s="340">
        <f t="shared" si="2"/>
        <v>0</v>
      </c>
      <c r="AB11" s="341">
        <f t="shared" si="3"/>
        <v>0</v>
      </c>
      <c r="AC11" s="210"/>
      <c r="AD11" s="211">
        <f t="shared" si="4"/>
        <v>416</v>
      </c>
      <c r="AE11" s="212">
        <f>IFERROR(INDEX(V!$R:$R,MATCH(AF11,V!$L:$L,0)),"")</f>
        <v>141</v>
      </c>
      <c r="AF11" s="213" t="str">
        <f t="shared" si="5"/>
        <v>Enn Tokman</v>
      </c>
      <c r="AG11" s="212" t="str">
        <f>IFERROR(INDEX(V!$R:$R,MATCH(AH11,V!$L:$L,0)),"")</f>
        <v/>
      </c>
      <c r="AH11" s="213" t="str">
        <f t="shared" si="6"/>
        <v>Kenneth Muusikus, Urmas Randlaine</v>
      </c>
      <c r="AI11" s="212">
        <f>IFERROR(INDEX(V!$R:$R,MATCH(AJ11,V!$L:$L,0)),"")</f>
        <v>141</v>
      </c>
      <c r="AJ11" s="213" t="str">
        <f t="shared" si="7"/>
        <v>Kenneth Muusikus</v>
      </c>
      <c r="AK11" s="212">
        <f>IFERROR(INDEX(V!$R:$R,MATCH(AL11,V!$L:$L,0)),"")</f>
        <v>134</v>
      </c>
      <c r="AL11" s="213" t="str">
        <f t="shared" si="8"/>
        <v>Urmas Randlaine</v>
      </c>
      <c r="AM11" s="212" t="str">
        <f>IFERROR(INDEX(V!$R:$R,MATCH(AN11,V!$L:$L,0)),"")</f>
        <v/>
      </c>
      <c r="AN11" s="213" t="str">
        <f t="shared" si="9"/>
        <v/>
      </c>
      <c r="AO11" s="212" t="str">
        <f>IFERROR(INDEX(V!$R:$R,MATCH(AP11,V!$L:$L,0)),"")</f>
        <v/>
      </c>
      <c r="AP11" s="213" t="str">
        <f t="shared" si="10"/>
        <v/>
      </c>
    </row>
    <row r="12" spans="1:42" x14ac:dyDescent="0.2">
      <c r="A12" s="333">
        <v>6</v>
      </c>
      <c r="B12" s="255" t="s">
        <v>276</v>
      </c>
      <c r="C12" s="334"/>
      <c r="D12" s="335" t="s">
        <v>222</v>
      </c>
      <c r="E12" s="336"/>
      <c r="F12" s="337"/>
      <c r="G12" s="334"/>
      <c r="H12" s="335" t="s">
        <v>222</v>
      </c>
      <c r="I12" s="336"/>
      <c r="J12" s="337"/>
      <c r="K12" s="334"/>
      <c r="L12" s="335" t="s">
        <v>222</v>
      </c>
      <c r="M12" s="336"/>
      <c r="N12" s="337"/>
      <c r="O12" s="334"/>
      <c r="P12" s="335" t="s">
        <v>222</v>
      </c>
      <c r="Q12" s="336"/>
      <c r="R12" s="337"/>
      <c r="S12" s="334"/>
      <c r="T12" s="335" t="s">
        <v>222</v>
      </c>
      <c r="U12" s="336"/>
      <c r="V12" s="337"/>
      <c r="W12" s="338">
        <f t="shared" si="0"/>
        <v>0</v>
      </c>
      <c r="X12" s="339"/>
      <c r="Y12" s="334">
        <f t="shared" si="1"/>
        <v>0</v>
      </c>
      <c r="Z12" s="335" t="s">
        <v>222</v>
      </c>
      <c r="AA12" s="340">
        <f t="shared" si="2"/>
        <v>0</v>
      </c>
      <c r="AB12" s="341">
        <f t="shared" si="3"/>
        <v>0</v>
      </c>
      <c r="AC12" s="210"/>
      <c r="AD12" s="211">
        <f t="shared" ref="AD12:AD13" si="11">SUM(AE12:AL12)</f>
        <v>122</v>
      </c>
      <c r="AE12" s="212">
        <f>IFERROR(INDEX(V!$R:$R,MATCH(AF12,V!$L:$L,0)),"")</f>
        <v>25</v>
      </c>
      <c r="AF12" s="213" t="str">
        <f t="shared" si="5"/>
        <v>Airi Veski</v>
      </c>
      <c r="AG12" s="212" t="str">
        <f>IFERROR(INDEX(V!$R:$R,MATCH(AH12,V!$L:$L,0)),"")</f>
        <v/>
      </c>
      <c r="AH12" s="213" t="str">
        <f t="shared" si="6"/>
        <v>Andres Veski, Svetlana Veski</v>
      </c>
      <c r="AI12" s="212">
        <f>IFERROR(INDEX(V!$R:$R,MATCH(AJ12,V!$L:$L,0)),"")</f>
        <v>42</v>
      </c>
      <c r="AJ12" s="213" t="str">
        <f t="shared" si="7"/>
        <v>Andres Veski</v>
      </c>
      <c r="AK12" s="212">
        <f>IFERROR(INDEX(V!$R:$R,MATCH(AL12,V!$L:$L,0)),"")</f>
        <v>55</v>
      </c>
      <c r="AL12" s="213" t="str">
        <f t="shared" si="8"/>
        <v>Svetlana Veski</v>
      </c>
      <c r="AM12" s="212" t="str">
        <f>IFERROR(INDEX(V!$R:$R,MATCH(AN12,V!$L:$L,0)),"")</f>
        <v/>
      </c>
      <c r="AN12" s="213" t="str">
        <f t="shared" si="9"/>
        <v/>
      </c>
      <c r="AO12" s="212" t="str">
        <f>IFERROR(INDEX(V!$R:$R,MATCH(AP12,V!$L:$L,0)),"")</f>
        <v/>
      </c>
      <c r="AP12" s="213" t="str">
        <f t="shared" si="10"/>
        <v/>
      </c>
    </row>
    <row r="13" spans="1:42" x14ac:dyDescent="0.2">
      <c r="A13" s="333">
        <v>7</v>
      </c>
      <c r="B13" s="342" t="s">
        <v>283</v>
      </c>
      <c r="C13" s="334"/>
      <c r="D13" s="335" t="s">
        <v>222</v>
      </c>
      <c r="E13" s="336"/>
      <c r="F13" s="337"/>
      <c r="G13" s="334"/>
      <c r="H13" s="335" t="s">
        <v>222</v>
      </c>
      <c r="I13" s="336"/>
      <c r="J13" s="337"/>
      <c r="K13" s="334"/>
      <c r="L13" s="335" t="s">
        <v>222</v>
      </c>
      <c r="M13" s="336"/>
      <c r="N13" s="337"/>
      <c r="O13" s="334"/>
      <c r="P13" s="335" t="s">
        <v>222</v>
      </c>
      <c r="Q13" s="336"/>
      <c r="R13" s="337"/>
      <c r="S13" s="334"/>
      <c r="T13" s="335" t="s">
        <v>222</v>
      </c>
      <c r="U13" s="336"/>
      <c r="V13" s="337"/>
      <c r="W13" s="338">
        <f t="shared" si="0"/>
        <v>0</v>
      </c>
      <c r="X13" s="339"/>
      <c r="Y13" s="334">
        <f t="shared" si="1"/>
        <v>0</v>
      </c>
      <c r="Z13" s="335" t="s">
        <v>222</v>
      </c>
      <c r="AA13" s="340">
        <f t="shared" si="2"/>
        <v>0</v>
      </c>
      <c r="AB13" s="341">
        <f t="shared" si="3"/>
        <v>0</v>
      </c>
      <c r="AC13" s="210"/>
      <c r="AD13" s="211">
        <f t="shared" si="11"/>
        <v>129</v>
      </c>
      <c r="AE13" s="212">
        <f>IFERROR(INDEX(V!$R:$R,MATCH(AF13,V!$L:$L,0)),"")</f>
        <v>23</v>
      </c>
      <c r="AF13" s="213" t="str">
        <f t="shared" si="5"/>
        <v>Elmo Lageda</v>
      </c>
      <c r="AG13" s="212" t="str">
        <f>IFERROR(INDEX(V!$R:$R,MATCH(AH13,V!$L:$L,0)),"")</f>
        <v/>
      </c>
      <c r="AH13" s="213" t="str">
        <f t="shared" si="6"/>
        <v>Lemmit Toomra, Tõnu Kapper</v>
      </c>
      <c r="AI13" s="212">
        <f>IFERROR(INDEX(V!$R:$R,MATCH(AJ13,V!$L:$L,0)),"")</f>
        <v>53</v>
      </c>
      <c r="AJ13" s="213" t="str">
        <f t="shared" si="7"/>
        <v>Lemmit Toomra</v>
      </c>
      <c r="AK13" s="212">
        <f>IFERROR(INDEX(V!$R:$R,MATCH(AL13,V!$L:$L,0)),"")</f>
        <v>53</v>
      </c>
      <c r="AL13" s="213" t="str">
        <f t="shared" si="8"/>
        <v>Tõnu Kapper</v>
      </c>
      <c r="AM13" s="212" t="str">
        <f>IFERROR(INDEX(V!$R:$R,MATCH(AN13,V!$L:$L,0)),"")</f>
        <v/>
      </c>
      <c r="AN13" s="213" t="str">
        <f t="shared" si="9"/>
        <v/>
      </c>
      <c r="AO13" s="212" t="str">
        <f>IFERROR(INDEX(V!$R:$R,MATCH(AP13,V!$L:$L,0)),"")</f>
        <v/>
      </c>
      <c r="AP13" s="213" t="str">
        <f t="shared" si="10"/>
        <v/>
      </c>
    </row>
    <row r="14" spans="1:42" hidden="1" x14ac:dyDescent="0.2"/>
    <row r="15" spans="1:42" hidden="1" x14ac:dyDescent="0.2"/>
    <row r="16" spans="1:42" hidden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9" spans="1:6" x14ac:dyDescent="0.2">
      <c r="A299" s="157"/>
      <c r="B299" s="157"/>
      <c r="C299" s="207" t="s">
        <v>190</v>
      </c>
      <c r="F299" s="724" t="s">
        <v>79</v>
      </c>
    </row>
    <row r="300" spans="1:6" x14ac:dyDescent="0.2">
      <c r="A300" s="301">
        <v>1</v>
      </c>
      <c r="B300" s="344" t="str">
        <f>IFERROR(INDEX(B$1:B$100,MATCH(A300,A$1:A$100,0)),"")</f>
        <v>Henri Mitt, Oksana Rõndenkova, Oleg Rõndenkov</v>
      </c>
      <c r="C300" s="274">
        <f>LARGE(A300:A400,1)*3+3-A300*3</f>
        <v>21</v>
      </c>
      <c r="F300" s="724">
        <v>3</v>
      </c>
    </row>
    <row r="301" spans="1:6" x14ac:dyDescent="0.2">
      <c r="A301" s="301">
        <v>2</v>
      </c>
      <c r="B301" s="344" t="str">
        <f t="shared" ref="B301:B306" si="12">IFERROR(INDEX(B$1:B$100,MATCH(A301,A$1:A$100,0)),"")</f>
        <v>Annaliset Neiland, Hillar Neiland, Kaspar Mänd</v>
      </c>
      <c r="C301" s="274">
        <f t="shared" ref="C301:C306" si="13">LARGE(A301:A401,1)*3+3-A301*3</f>
        <v>18</v>
      </c>
      <c r="F301" s="724">
        <v>3</v>
      </c>
    </row>
    <row r="302" spans="1:6" x14ac:dyDescent="0.2">
      <c r="A302" s="301">
        <v>3</v>
      </c>
      <c r="B302" s="344" t="str">
        <f t="shared" si="12"/>
        <v>Illar Tõnurist, Jaan Saar, Sander Rose</v>
      </c>
      <c r="C302" s="274">
        <f t="shared" si="13"/>
        <v>15</v>
      </c>
      <c r="F302" s="724">
        <v>3</v>
      </c>
    </row>
    <row r="303" spans="1:6" x14ac:dyDescent="0.2">
      <c r="A303" s="301">
        <v>4</v>
      </c>
      <c r="B303" s="344" t="str">
        <f t="shared" si="12"/>
        <v>Olav Türk, Sirje Maala, Tarmo Bombe</v>
      </c>
      <c r="C303" s="274">
        <f t="shared" si="13"/>
        <v>12</v>
      </c>
      <c r="F303" s="724">
        <v>2</v>
      </c>
    </row>
    <row r="304" spans="1:6" x14ac:dyDescent="0.2">
      <c r="A304" s="301">
        <v>5</v>
      </c>
      <c r="B304" s="344" t="str">
        <f t="shared" si="12"/>
        <v>Enn Tokman, Kenneth Muusikus, Urmas Randlaine</v>
      </c>
      <c r="C304" s="274">
        <f t="shared" si="13"/>
        <v>9</v>
      </c>
      <c r="F304" s="724">
        <v>2</v>
      </c>
    </row>
    <row r="305" spans="1:6" x14ac:dyDescent="0.2">
      <c r="A305" s="301">
        <v>6</v>
      </c>
      <c r="B305" s="344" t="str">
        <f t="shared" si="12"/>
        <v>Airi Veski, Andres Veski, Svetlana Veski</v>
      </c>
      <c r="C305" s="274">
        <f t="shared" si="13"/>
        <v>6</v>
      </c>
      <c r="F305" s="724">
        <v>2</v>
      </c>
    </row>
    <row r="306" spans="1:6" x14ac:dyDescent="0.2">
      <c r="A306" s="301">
        <v>7</v>
      </c>
      <c r="B306" s="344" t="str">
        <f t="shared" si="12"/>
        <v>Elmo Lageda, Lemmit Toomra, Tõnu Kapper</v>
      </c>
      <c r="C306" s="274">
        <f t="shared" si="13"/>
        <v>3</v>
      </c>
      <c r="F306" s="724">
        <v>1</v>
      </c>
    </row>
  </sheetData>
  <conditionalFormatting sqref="C7:C13 G7:G13 K7:K13 O7:O13 S7:S13">
    <cfRule type="expression" dxfId="613" priority="12">
      <formula>AND(C7=0,E7=13)</formula>
    </cfRule>
  </conditionalFormatting>
  <conditionalFormatting sqref="C7:C13">
    <cfRule type="expression" dxfId="612" priority="26">
      <formula>IF($C7&gt;$E7,TRUE)</formula>
    </cfRule>
  </conditionalFormatting>
  <conditionalFormatting sqref="E7:E13">
    <cfRule type="expression" dxfId="611" priority="27">
      <formula>IF($C7&lt;$E7,TRUE)</formula>
    </cfRule>
  </conditionalFormatting>
  <conditionalFormatting sqref="K7:K13">
    <cfRule type="expression" dxfId="610" priority="34">
      <formula>IF($K7&gt;$M7,TRUE)</formula>
    </cfRule>
  </conditionalFormatting>
  <conditionalFormatting sqref="M7:M13">
    <cfRule type="expression" dxfId="609" priority="35">
      <formula>IF($K7&lt;$M7,TRUE)</formula>
    </cfRule>
  </conditionalFormatting>
  <conditionalFormatting sqref="O7:O13">
    <cfRule type="expression" dxfId="608" priority="38">
      <formula>IF($O7&gt;$Q7,TRUE)</formula>
    </cfRule>
  </conditionalFormatting>
  <conditionalFormatting sqref="Q7:Q13">
    <cfRule type="expression" dxfId="607" priority="39">
      <formula>IF($O7&lt;$Q7,TRUE)</formula>
    </cfRule>
  </conditionalFormatting>
  <conditionalFormatting sqref="S7:S13">
    <cfRule type="expression" dxfId="606" priority="42">
      <formula>IF($S7&gt;$U7,TRUE)</formula>
    </cfRule>
  </conditionalFormatting>
  <conditionalFormatting sqref="U7:U13">
    <cfRule type="expression" dxfId="605" priority="43">
      <formula>IF($S7&lt;$U7,TRUE)</formula>
    </cfRule>
  </conditionalFormatting>
  <conditionalFormatting sqref="G7:G13">
    <cfRule type="expression" dxfId="604" priority="30">
      <formula>IF($G7&gt;$I7,TRUE)</formula>
    </cfRule>
  </conditionalFormatting>
  <conditionalFormatting sqref="I7:I13">
    <cfRule type="expression" dxfId="603" priority="31">
      <formula>IF($G7&lt;$I7,TRUE)</formula>
    </cfRule>
  </conditionalFormatting>
  <conditionalFormatting sqref="F7:F13">
    <cfRule type="containsText" dxfId="602" priority="17" operator="containsText" text="vaba voor">
      <formula>NOT(ISERROR(SEARCH("vaba voor",F7)))</formula>
    </cfRule>
  </conditionalFormatting>
  <conditionalFormatting sqref="N7:N13">
    <cfRule type="containsText" dxfId="601" priority="15" operator="containsText" text="vaba voor">
      <formula>NOT(ISERROR(SEARCH("vaba voor",N7)))</formula>
    </cfRule>
  </conditionalFormatting>
  <conditionalFormatting sqref="R7:R13">
    <cfRule type="containsText" dxfId="600" priority="18" operator="containsText" text="vaba voor">
      <formula>NOT(ISERROR(SEARCH("vaba voor",R7)))</formula>
    </cfRule>
  </conditionalFormatting>
  <conditionalFormatting sqref="V7:V13">
    <cfRule type="containsText" dxfId="599" priority="14" operator="containsText" text="vaba voor">
      <formula>NOT(ISERROR(SEARCH("vaba voor",V7)))</formula>
    </cfRule>
  </conditionalFormatting>
  <conditionalFormatting sqref="J7:J13">
    <cfRule type="containsText" dxfId="598" priority="16" operator="containsText" text="vaba voor">
      <formula>NOT(ISERROR(SEARCH("vaba voor",J7)))</formula>
    </cfRule>
  </conditionalFormatting>
  <conditionalFormatting sqref="C7:F13">
    <cfRule type="expression" dxfId="597" priority="22">
      <formula>IF(AND(ISNUMBER($C7),$C7=$E7),TRUE)</formula>
    </cfRule>
    <cfRule type="expression" dxfId="596" priority="24">
      <formula>IF($C7&gt;$E7,TRUE)</formula>
    </cfRule>
    <cfRule type="expression" dxfId="595" priority="25">
      <formula>IF($C7&lt;$E7,TRUE)</formula>
    </cfRule>
  </conditionalFormatting>
  <conditionalFormatting sqref="G7:J13">
    <cfRule type="expression" dxfId="594" priority="23">
      <formula>IF(AND(ISNUMBER($G7),$G7=$I7),TRUE)</formula>
    </cfRule>
    <cfRule type="expression" dxfId="593" priority="28">
      <formula>IF($G7&gt;$I7,TRUE)</formula>
    </cfRule>
    <cfRule type="expression" dxfId="592" priority="29">
      <formula>IF($G7&lt;$I7,TRUE)</formula>
    </cfRule>
  </conditionalFormatting>
  <conditionalFormatting sqref="K7:N13">
    <cfRule type="expression" dxfId="591" priority="21">
      <formula>IF(AND(ISNUMBER($K7),$K7=$M7),TRUE)</formula>
    </cfRule>
    <cfRule type="expression" dxfId="590" priority="32">
      <formula>IF($K7&gt;$M7,TRUE)</formula>
    </cfRule>
    <cfRule type="expression" dxfId="589" priority="33">
      <formula>IF($K7&lt;$M7,TRUE)</formula>
    </cfRule>
  </conditionalFormatting>
  <conditionalFormatting sqref="O7:R13">
    <cfRule type="expression" dxfId="588" priority="20">
      <formula>IF(AND(ISNUMBER($O7),$O7=$Q7),TRUE)</formula>
    </cfRule>
    <cfRule type="expression" dxfId="587" priority="36">
      <formula>IF($O7&gt;$Q7,TRUE)</formula>
    </cfRule>
    <cfRule type="expression" dxfId="586" priority="37">
      <formula>IF($O7&lt;$Q7,TRUE)</formula>
    </cfRule>
  </conditionalFormatting>
  <conditionalFormatting sqref="S7:V13">
    <cfRule type="expression" dxfId="585" priority="19">
      <formula>IF(AND(ISNUMBER($S7),$S7=$U7),TRUE)</formula>
    </cfRule>
    <cfRule type="expression" dxfId="584" priority="40">
      <formula>IF($S7&gt;$U7,TRUE)</formula>
    </cfRule>
    <cfRule type="expression" dxfId="583" priority="41">
      <formula>IF($S7&lt;$U7,TRUE)</formula>
    </cfRule>
  </conditionalFormatting>
  <conditionalFormatting sqref="E7:E13 I7:I13 M7:M13 Q7:Q13 U7:U13">
    <cfRule type="expression" dxfId="582" priority="13">
      <formula>AND(E7=0,C7=13)</formula>
    </cfRule>
  </conditionalFormatting>
  <conditionalFormatting sqref="A7:A13">
    <cfRule type="duplicateValues" dxfId="581" priority="44"/>
  </conditionalFormatting>
  <conditionalFormatting sqref="AJ7:AJ13">
    <cfRule type="expression" dxfId="580" priority="5">
      <formula>AND(AI7="",FIND(",",AJ7))</formula>
    </cfRule>
    <cfRule type="expression" dxfId="579" priority="7">
      <formula>AND(AI7="",COUNTIF(AJ7,"*,*")=0)</formula>
    </cfRule>
  </conditionalFormatting>
  <conditionalFormatting sqref="AH7:AH13">
    <cfRule type="expression" dxfId="578" priority="8">
      <formula>AND(AG7="",FIND(",",AH7))</formula>
    </cfRule>
    <cfRule type="expression" dxfId="577" priority="9">
      <formula>AND(AG7="",COUNTIF(AH7,"*,*")=0)</formula>
    </cfRule>
  </conditionalFormatting>
  <conditionalFormatting sqref="AL7:AL13">
    <cfRule type="expression" dxfId="576" priority="10">
      <formula>AND(AK7="",FIND(",",AL7))</formula>
    </cfRule>
    <cfRule type="expression" dxfId="575" priority="11">
      <formula>AND(AK7="",COUNTIF(AL7,"*,*")=0)</formula>
    </cfRule>
  </conditionalFormatting>
  <conditionalFormatting sqref="AF7:AF13">
    <cfRule type="expression" dxfId="574" priority="6">
      <formula>AND(AE7="",COUNTIF(AF7,"*,*")=0)</formula>
    </cfRule>
  </conditionalFormatting>
  <conditionalFormatting sqref="AN7:AN13">
    <cfRule type="expression" dxfId="573" priority="2">
      <formula>AND(AM7="",COUNTIF(AN7,"*,*")=0)</formula>
    </cfRule>
    <cfRule type="expression" dxfId="572" priority="4">
      <formula>AND(AM7="",FIND(",",AN7))</formula>
    </cfRule>
  </conditionalFormatting>
  <conditionalFormatting sqref="AP7:AP13">
    <cfRule type="expression" dxfId="571" priority="1">
      <formula>AND(AO7="",COUNTIF(AP7,"*,*")=0)</formula>
    </cfRule>
    <cfRule type="expression" dxfId="570" priority="3">
      <formula>AND(AO7="",FIND(",",AP7))</formula>
    </cfRule>
  </conditionalFormatting>
  <conditionalFormatting sqref="B300:B306">
    <cfRule type="expression" dxfId="569" priority="1053">
      <formula>A300=3</formula>
    </cfRule>
    <cfRule type="expression" dxfId="568" priority="1054">
      <formula>A300=2</formula>
    </cfRule>
    <cfRule type="expression" dxfId="567" priority="1055">
      <formula>A300=1</formula>
    </cfRule>
    <cfRule type="containsBlanks" dxfId="566" priority="1056">
      <formula>LEN(TRIM(B300))=0</formula>
    </cfRule>
    <cfRule type="duplicateValues" dxfId="565" priority="1057"/>
  </conditionalFormatting>
  <pageMargins left="0.78740157480314965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09"/>
  <sheetViews>
    <sheetView showGridLines="0" showRowColHeaders="0" workbookViewId="0">
      <pane ySplit="1" topLeftCell="A2" activePane="bottomLeft" state="frozen"/>
      <selection pane="bottomLeft" activeCell="A5" sqref="A5"/>
    </sheetView>
  </sheetViews>
  <sheetFormatPr defaultRowHeight="12.75" x14ac:dyDescent="0.2"/>
  <cols>
    <col min="1" max="1" width="3.28515625" style="1" customWidth="1"/>
    <col min="2" max="2" width="35.5703125" style="1" bestFit="1" customWidth="1"/>
    <col min="3" max="3" width="4.7109375" style="1" customWidth="1"/>
    <col min="4" max="4" width="1.140625" style="1" customWidth="1"/>
    <col min="5" max="5" width="2.7109375" style="1" customWidth="1"/>
    <col min="6" max="6" width="9.140625" style="1"/>
    <col min="7" max="7" width="2.7109375" style="1" customWidth="1"/>
    <col min="8" max="8" width="1.140625" style="1" customWidth="1"/>
    <col min="9" max="9" width="2.7109375" style="1" customWidth="1"/>
    <col min="10" max="10" width="9.140625" style="1"/>
    <col min="11" max="11" width="2.7109375" style="1" customWidth="1"/>
    <col min="12" max="12" width="1.140625" style="1" customWidth="1"/>
    <col min="13" max="13" width="2.7109375" style="1" customWidth="1"/>
    <col min="14" max="14" width="9.140625" style="1"/>
    <col min="15" max="15" width="2.7109375" style="1" customWidth="1"/>
    <col min="16" max="16" width="1.140625" style="1" customWidth="1"/>
    <col min="17" max="17" width="2.7109375" style="1" customWidth="1"/>
    <col min="18" max="18" width="9.140625" style="1"/>
    <col min="19" max="19" width="2.7109375" style="1" customWidth="1"/>
    <col min="20" max="20" width="1.140625" style="1" customWidth="1"/>
    <col min="21" max="21" width="2.7109375" style="1" customWidth="1"/>
    <col min="22" max="22" width="9.140625" style="1"/>
    <col min="23" max="23" width="5.7109375" style="1" bestFit="1" customWidth="1"/>
    <col min="24" max="24" width="5.5703125" style="1" hidden="1" customWidth="1"/>
    <col min="25" max="25" width="2.7109375" style="1" customWidth="1"/>
    <col min="26" max="26" width="1.140625" style="1" customWidth="1"/>
    <col min="27" max="27" width="2.7109375" style="1" customWidth="1"/>
    <col min="28" max="28" width="4.7109375" style="1" customWidth="1"/>
    <col min="29" max="29" width="9.140625" style="1"/>
    <col min="30" max="31" width="9.140625" style="1" hidden="1" customWidth="1"/>
    <col min="32" max="32" width="18.28515625" style="1" hidden="1" customWidth="1"/>
    <col min="33" max="33" width="9.140625" style="1" hidden="1" customWidth="1"/>
    <col min="34" max="34" width="26.140625" style="1" hidden="1" customWidth="1"/>
    <col min="35" max="35" width="9.140625" style="1" hidden="1" customWidth="1"/>
    <col min="36" max="36" width="18.28515625" style="1" hidden="1" customWidth="1"/>
    <col min="37" max="37" width="9.140625" style="1" hidden="1" customWidth="1"/>
    <col min="38" max="38" width="15.28515625" style="1" hidden="1" customWidth="1"/>
    <col min="39" max="39" width="9.140625" style="1" hidden="1" customWidth="1"/>
    <col min="40" max="40" width="17.28515625" style="1" hidden="1" customWidth="1"/>
    <col min="41" max="41" width="9.140625" style="1" hidden="1" customWidth="1"/>
    <col min="42" max="42" width="13.85546875" style="1" hidden="1" customWidth="1"/>
    <col min="43" max="16384" width="9.140625" style="1"/>
  </cols>
  <sheetData>
    <row r="1" spans="1:42" x14ac:dyDescent="0.2">
      <c r="A1" s="206" t="str">
        <f>UPPER((Kalend!E18)&amp;" - "&amp;(Kalend!C18))&amp;" - "&amp;LOWER(Kalend!D18)&amp;" - "&amp;(Kalend!A18)&amp;" kell "&amp;(Kalend!B18)&amp;" - "&amp;(Kalend!F18)</f>
        <v>V5 - VOKA IV SISE-KV 5. ETAPP - trio - P, 06.02.2022 kell 11:00 - Voka petangihall</v>
      </c>
      <c r="O1" s="157"/>
      <c r="P1" s="157"/>
      <c r="Q1" s="187"/>
      <c r="R1" s="187"/>
      <c r="S1" s="187"/>
      <c r="T1" s="40"/>
      <c r="U1" s="40"/>
      <c r="V1" s="40"/>
      <c r="W1" s="157"/>
      <c r="X1" s="303"/>
      <c r="Y1" s="157"/>
      <c r="Z1" s="157"/>
      <c r="AD1" s="44" t="s">
        <v>71</v>
      </c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303"/>
      <c r="AP1" s="303"/>
    </row>
    <row r="2" spans="1:42" x14ac:dyDescent="0.2">
      <c r="F2" s="157"/>
      <c r="L2" s="214"/>
      <c r="M2" s="214"/>
      <c r="N2" s="214"/>
      <c r="O2" s="157"/>
      <c r="P2" s="157"/>
      <c r="Q2" s="157"/>
      <c r="R2" s="157"/>
      <c r="S2" s="157"/>
      <c r="T2" s="214"/>
      <c r="U2" s="214"/>
      <c r="V2" s="215" t="s">
        <v>195</v>
      </c>
      <c r="W2" s="216">
        <v>1</v>
      </c>
      <c r="Y2" s="217" t="s">
        <v>196</v>
      </c>
      <c r="Z2" s="157"/>
      <c r="AD2" s="157"/>
      <c r="AE2" s="157"/>
      <c r="AF2" s="157"/>
      <c r="AG2" s="157"/>
      <c r="AH2" s="157"/>
      <c r="AI2" s="157"/>
      <c r="AJ2" s="217"/>
      <c r="AK2" s="157"/>
      <c r="AL2" s="157"/>
      <c r="AM2" s="157"/>
      <c r="AN2" s="157"/>
    </row>
    <row r="3" spans="1:42" x14ac:dyDescent="0.2">
      <c r="F3" s="157"/>
      <c r="L3" s="214"/>
      <c r="M3" s="214"/>
      <c r="N3" s="214"/>
      <c r="O3" s="157"/>
      <c r="P3" s="157"/>
      <c r="Q3" s="157"/>
      <c r="R3" s="157"/>
      <c r="S3" s="157"/>
      <c r="T3" s="214"/>
      <c r="U3" s="214"/>
      <c r="V3" s="218" t="s">
        <v>197</v>
      </c>
      <c r="W3" s="216">
        <v>0.5</v>
      </c>
      <c r="Y3" s="217" t="s">
        <v>196</v>
      </c>
      <c r="Z3" s="157"/>
      <c r="AE3" s="157"/>
      <c r="AG3" s="157"/>
      <c r="AH3" s="157"/>
      <c r="AI3" s="157"/>
      <c r="AJ3" s="157"/>
      <c r="AK3" s="157"/>
      <c r="AL3" s="157"/>
      <c r="AM3" s="157"/>
      <c r="AN3" s="157"/>
    </row>
    <row r="4" spans="1:42" x14ac:dyDescent="0.2">
      <c r="F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219" t="s">
        <v>198</v>
      </c>
      <c r="W4" s="216">
        <v>0</v>
      </c>
      <c r="Y4" s="217" t="s">
        <v>196</v>
      </c>
      <c r="Z4" s="157"/>
      <c r="AA4" s="157"/>
      <c r="AE4" s="214"/>
      <c r="AF4" s="214"/>
      <c r="AG4" s="214"/>
      <c r="AH4" s="205"/>
      <c r="AI4" s="214"/>
      <c r="AJ4" s="214"/>
      <c r="AK4" s="214"/>
      <c r="AL4" s="214"/>
      <c r="AM4" s="214"/>
      <c r="AN4" s="214"/>
      <c r="AO4" s="214"/>
      <c r="AP4" s="214"/>
    </row>
    <row r="5" spans="1:42" x14ac:dyDescent="0.2">
      <c r="F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363" t="s">
        <v>231</v>
      </c>
      <c r="AC5" s="157"/>
      <c r="AD5" s="360" t="s">
        <v>176</v>
      </c>
    </row>
    <row r="6" spans="1:42" x14ac:dyDescent="0.2">
      <c r="A6" s="326" t="s">
        <v>10</v>
      </c>
      <c r="B6" s="326" t="s">
        <v>58</v>
      </c>
      <c r="C6" s="327" t="s">
        <v>133</v>
      </c>
      <c r="D6" s="328"/>
      <c r="E6" s="328"/>
      <c r="F6" s="329"/>
      <c r="G6" s="327" t="s">
        <v>136</v>
      </c>
      <c r="H6" s="328"/>
      <c r="I6" s="328"/>
      <c r="J6" s="329"/>
      <c r="K6" s="327" t="s">
        <v>139</v>
      </c>
      <c r="L6" s="328"/>
      <c r="M6" s="328"/>
      <c r="N6" s="329"/>
      <c r="O6" s="327" t="s">
        <v>142</v>
      </c>
      <c r="P6" s="328"/>
      <c r="Q6" s="328"/>
      <c r="R6" s="329"/>
      <c r="S6" s="327" t="s">
        <v>144</v>
      </c>
      <c r="T6" s="328"/>
      <c r="U6" s="328"/>
      <c r="V6" s="329"/>
      <c r="W6" s="326" t="s">
        <v>79</v>
      </c>
      <c r="X6" s="330" t="s">
        <v>220</v>
      </c>
      <c r="Y6" s="330"/>
      <c r="Z6" s="331" t="s">
        <v>221</v>
      </c>
      <c r="AA6" s="332"/>
      <c r="AB6" s="157"/>
      <c r="AC6" s="157"/>
      <c r="AD6" s="158" t="s">
        <v>224</v>
      </c>
      <c r="AE6" s="159"/>
      <c r="AF6" s="159" t="s">
        <v>191</v>
      </c>
      <c r="AG6" s="159"/>
      <c r="AH6" s="209" t="s">
        <v>192</v>
      </c>
      <c r="AI6" s="159"/>
      <c r="AJ6" s="159" t="s">
        <v>193</v>
      </c>
      <c r="AK6" s="160"/>
      <c r="AL6" s="159" t="s">
        <v>194</v>
      </c>
      <c r="AM6" s="160"/>
      <c r="AN6" s="160" t="s">
        <v>229</v>
      </c>
      <c r="AO6" s="359"/>
      <c r="AP6" s="160" t="s">
        <v>230</v>
      </c>
    </row>
    <row r="7" spans="1:42" x14ac:dyDescent="0.2">
      <c r="A7" s="333">
        <v>1</v>
      </c>
      <c r="B7" s="395" t="s">
        <v>311</v>
      </c>
      <c r="C7" s="334"/>
      <c r="D7" s="335" t="s">
        <v>222</v>
      </c>
      <c r="E7" s="336"/>
      <c r="F7" s="337"/>
      <c r="G7" s="334"/>
      <c r="H7" s="335" t="s">
        <v>222</v>
      </c>
      <c r="I7" s="336"/>
      <c r="J7" s="337"/>
      <c r="K7" s="334"/>
      <c r="L7" s="335" t="s">
        <v>222</v>
      </c>
      <c r="M7" s="336"/>
      <c r="N7" s="337"/>
      <c r="O7" s="334"/>
      <c r="P7" s="335" t="s">
        <v>222</v>
      </c>
      <c r="Q7" s="336"/>
      <c r="R7" s="337"/>
      <c r="S7" s="334"/>
      <c r="T7" s="335" t="s">
        <v>222</v>
      </c>
      <c r="U7" s="336"/>
      <c r="V7" s="337"/>
      <c r="W7" s="338">
        <f t="shared" ref="W7:W13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0</v>
      </c>
      <c r="X7" s="339"/>
      <c r="Y7" s="334">
        <f>C7+G7+K7+O7+S7</f>
        <v>0</v>
      </c>
      <c r="Z7" s="335" t="s">
        <v>222</v>
      </c>
      <c r="AA7" s="340">
        <f>E7+I7+M7+Q7+U7</f>
        <v>0</v>
      </c>
      <c r="AB7" s="341">
        <f>Y7-AA7</f>
        <v>0</v>
      </c>
      <c r="AD7" s="211">
        <f>SUM(AE7:AP7)</f>
        <v>285</v>
      </c>
      <c r="AE7" s="212">
        <f>IFERROR(INDEX(V!$R:$R,MATCH(AF7,V!$L:$L,0)),"")</f>
        <v>153</v>
      </c>
      <c r="AF7" s="213" t="str">
        <f>IFERROR(LEFT($B7,(FIND(",",$B7,1)-1)),"")</f>
        <v>Kaspar Mänd</v>
      </c>
      <c r="AG7" s="212">
        <f>IFERROR(INDEX(V!$R:$R,MATCH(AH7,V!$L:$L,0)),"")</f>
        <v>132</v>
      </c>
      <c r="AH7" s="213" t="str">
        <f>IFERROR(MID($B7,FIND(", ",$B7)+2,256),"")</f>
        <v>Olav Türk</v>
      </c>
      <c r="AI7" s="212" t="str">
        <f>IFERROR(INDEX(V!$R:$R,MATCH(AJ7,V!$L:$L,0)),"")</f>
        <v/>
      </c>
      <c r="AJ7" s="213" t="str">
        <f>IFERROR(MID($B7,FIND("^",SUBSTITUTE($B7,", ","^",1))+2,FIND("^",SUBSTITUTE($B7,", ","^",2))-FIND("^",SUBSTITUTE($B7,", ","^",1))-2),"")</f>
        <v/>
      </c>
      <c r="AK7" s="212" t="str">
        <f>IFERROR(INDEX(V!$R:$R,MATCH(AL7,V!$L:$L,0)),"")</f>
        <v/>
      </c>
      <c r="AL7" s="213" t="str">
        <f>IFERROR(MID($B7,FIND(", ",$B7,FIND(", ",$B7,FIND(", ",$B7))+1)+2,30000),"")</f>
        <v/>
      </c>
      <c r="AM7" s="212" t="str">
        <f>IFERROR(INDEX(V!$R:$R,MATCH(AN7,V!$L:$L,0)),"")</f>
        <v/>
      </c>
      <c r="AN7" s="213" t="str">
        <f>IFERROR(MID($B7,FIND(", ",$B7,FIND(", ",$B7)+1)+2,FIND(", ",$B7,FIND(", ",$B7,FIND(", ",$B7)+1)+1)-FIND(", ",$B7,FIND(", ",$B7)+1)-2),"")</f>
        <v/>
      </c>
      <c r="AO7" s="212" t="str">
        <f>IFERROR(INDEX(V!$R:$R,MATCH(AP7,V!$L:$L,0)),"")</f>
        <v/>
      </c>
      <c r="AP7" s="213" t="str">
        <f>IFERROR(MID($B7,FIND(", ",$B7,FIND(", ",$B7,FIND(", ",$B7)+1)+1)+2,30000),"")</f>
        <v/>
      </c>
    </row>
    <row r="8" spans="1:42" x14ac:dyDescent="0.2">
      <c r="A8" s="333">
        <v>2</v>
      </c>
      <c r="B8" s="241" t="s">
        <v>260</v>
      </c>
      <c r="C8" s="334"/>
      <c r="D8" s="335" t="s">
        <v>222</v>
      </c>
      <c r="E8" s="336"/>
      <c r="F8" s="337"/>
      <c r="G8" s="334"/>
      <c r="H8" s="335" t="s">
        <v>222</v>
      </c>
      <c r="I8" s="336"/>
      <c r="J8" s="337"/>
      <c r="K8" s="334"/>
      <c r="L8" s="335" t="s">
        <v>222</v>
      </c>
      <c r="M8" s="336"/>
      <c r="N8" s="337"/>
      <c r="O8" s="334"/>
      <c r="P8" s="335" t="s">
        <v>222</v>
      </c>
      <c r="Q8" s="336"/>
      <c r="R8" s="337"/>
      <c r="S8" s="334"/>
      <c r="T8" s="335" t="s">
        <v>222</v>
      </c>
      <c r="U8" s="336"/>
      <c r="V8" s="337"/>
      <c r="W8" s="338">
        <f t="shared" si="0"/>
        <v>0</v>
      </c>
      <c r="X8" s="339"/>
      <c r="Y8" s="334">
        <f t="shared" ref="Y8:Y13" si="1">C8+G8+K8+O8+S8</f>
        <v>0</v>
      </c>
      <c r="Z8" s="335" t="s">
        <v>222</v>
      </c>
      <c r="AA8" s="340">
        <f t="shared" ref="AA8:AA13" si="2">E8+I8+M8+Q8+U8</f>
        <v>0</v>
      </c>
      <c r="AB8" s="341">
        <f t="shared" ref="AB8:AB13" si="3">Y8-AA8</f>
        <v>0</v>
      </c>
      <c r="AC8" s="210"/>
      <c r="AD8" s="211">
        <f t="shared" ref="AD8:AD11" si="4">SUM(AE8:AL8)</f>
        <v>282</v>
      </c>
      <c r="AE8" s="212">
        <f>IFERROR(INDEX(V!$R:$R,MATCH(AF8,V!$L:$L,0)),"")</f>
        <v>141</v>
      </c>
      <c r="AF8" s="213" t="str">
        <f t="shared" ref="AF8:AF16" si="5">IFERROR(LEFT($B8,(FIND(",",$B8,1)-1)),"")</f>
        <v>Enn Tokman</v>
      </c>
      <c r="AG8" s="212">
        <f>IFERROR(INDEX(V!$R:$R,MATCH(AH8,V!$L:$L,0)),"")</f>
        <v>141</v>
      </c>
      <c r="AH8" s="213" t="str">
        <f t="shared" ref="AH8:AH16" si="6">IFERROR(MID($B8,FIND(", ",$B8)+2,256),"")</f>
        <v>Kenneth Muusikus</v>
      </c>
      <c r="AI8" s="212" t="str">
        <f>IFERROR(INDEX(V!$R:$R,MATCH(AJ8,V!$L:$L,0)),"")</f>
        <v/>
      </c>
      <c r="AJ8" s="213" t="str">
        <f t="shared" ref="AJ8:AJ16" si="7">IFERROR(MID($B8,FIND("^",SUBSTITUTE($B8,", ","^",1))+2,FIND("^",SUBSTITUTE($B8,", ","^",2))-FIND("^",SUBSTITUTE($B8,", ","^",1))-2),"")</f>
        <v/>
      </c>
      <c r="AK8" s="212" t="str">
        <f>IFERROR(INDEX(V!$R:$R,MATCH(AL8,V!$L:$L,0)),"")</f>
        <v/>
      </c>
      <c r="AL8" s="213" t="str">
        <f t="shared" ref="AL8:AL16" si="8">IFERROR(MID($B8,FIND(", ",$B8,FIND(", ",$B8,FIND(", ",$B8))+1)+2,30000),"")</f>
        <v/>
      </c>
      <c r="AM8" s="212" t="str">
        <f>IFERROR(INDEX(V!$R:$R,MATCH(AN8,V!$L:$L,0)),"")</f>
        <v/>
      </c>
      <c r="AN8" s="213" t="str">
        <f t="shared" ref="AN8:AN16" si="9">IFERROR(MID($B8,FIND(", ",$B8,FIND(", ",$B8)+1)+2,FIND(", ",$B8,FIND(", ",$B8,FIND(", ",$B8)+1)+1)-FIND(", ",$B8,FIND(", ",$B8)+1)-2),"")</f>
        <v/>
      </c>
      <c r="AO8" s="212" t="str">
        <f>IFERROR(INDEX(V!$R:$R,MATCH(AP8,V!$L:$L,0)),"")</f>
        <v/>
      </c>
      <c r="AP8" s="213" t="str">
        <f t="shared" ref="AP8:AP16" si="10">IFERROR(MID($B8,FIND(", ",$B8,FIND(", ",$B8,FIND(", ",$B8)+1)+1)+2,30000),"")</f>
        <v/>
      </c>
    </row>
    <row r="9" spans="1:42" x14ac:dyDescent="0.2">
      <c r="A9" s="333">
        <v>3</v>
      </c>
      <c r="B9" s="255" t="s">
        <v>312</v>
      </c>
      <c r="C9" s="334"/>
      <c r="D9" s="335" t="s">
        <v>222</v>
      </c>
      <c r="E9" s="336"/>
      <c r="F9" s="337"/>
      <c r="G9" s="334"/>
      <c r="H9" s="335" t="s">
        <v>222</v>
      </c>
      <c r="I9" s="336"/>
      <c r="J9" s="337"/>
      <c r="K9" s="334"/>
      <c r="L9" s="335" t="s">
        <v>222</v>
      </c>
      <c r="M9" s="336"/>
      <c r="N9" s="337"/>
      <c r="O9" s="334"/>
      <c r="P9" s="335" t="s">
        <v>222</v>
      </c>
      <c r="Q9" s="336"/>
      <c r="R9" s="337"/>
      <c r="S9" s="334"/>
      <c r="T9" s="335" t="s">
        <v>222</v>
      </c>
      <c r="U9" s="336"/>
      <c r="V9" s="337"/>
      <c r="W9" s="338">
        <f t="shared" si="0"/>
        <v>0</v>
      </c>
      <c r="X9" s="339"/>
      <c r="Y9" s="334">
        <f t="shared" si="1"/>
        <v>0</v>
      </c>
      <c r="Z9" s="335" t="s">
        <v>222</v>
      </c>
      <c r="AA9" s="340">
        <f t="shared" si="2"/>
        <v>0</v>
      </c>
      <c r="AB9" s="341">
        <f t="shared" si="3"/>
        <v>0</v>
      </c>
      <c r="AC9" s="210"/>
      <c r="AD9" s="211">
        <f t="shared" si="4"/>
        <v>46</v>
      </c>
      <c r="AE9" s="212">
        <f>IFERROR(INDEX(V!$R:$R,MATCH(AF9,V!$L:$L,0)),"")</f>
        <v>24</v>
      </c>
      <c r="AF9" s="213" t="str">
        <f t="shared" si="5"/>
        <v>Ivar Viljaste</v>
      </c>
      <c r="AG9" s="212">
        <f>IFERROR(INDEX(V!$R:$R,MATCH(AH9,V!$L:$L,0)),"")</f>
        <v>22</v>
      </c>
      <c r="AH9" s="213" t="str">
        <f t="shared" si="6"/>
        <v>Janek Tarto</v>
      </c>
      <c r="AI9" s="212" t="str">
        <f>IFERROR(INDEX(V!$R:$R,MATCH(AJ9,V!$L:$L,0)),"")</f>
        <v/>
      </c>
      <c r="AJ9" s="213" t="str">
        <f t="shared" si="7"/>
        <v/>
      </c>
      <c r="AK9" s="212" t="str">
        <f>IFERROR(INDEX(V!$R:$R,MATCH(AL9,V!$L:$L,0)),"")</f>
        <v/>
      </c>
      <c r="AL9" s="213" t="str">
        <f t="shared" si="8"/>
        <v/>
      </c>
      <c r="AM9" s="212" t="str">
        <f>IFERROR(INDEX(V!$R:$R,MATCH(AN9,V!$L:$L,0)),"")</f>
        <v/>
      </c>
      <c r="AN9" s="213" t="str">
        <f t="shared" si="9"/>
        <v/>
      </c>
      <c r="AO9" s="212" t="str">
        <f>IFERROR(INDEX(V!$R:$R,MATCH(AP9,V!$L:$L,0)),"")</f>
        <v/>
      </c>
      <c r="AP9" s="213" t="str">
        <f t="shared" si="10"/>
        <v/>
      </c>
    </row>
    <row r="10" spans="1:42" x14ac:dyDescent="0.2">
      <c r="A10" s="333">
        <v>4</v>
      </c>
      <c r="B10" s="255" t="s">
        <v>289</v>
      </c>
      <c r="C10" s="334"/>
      <c r="D10" s="335" t="s">
        <v>222</v>
      </c>
      <c r="E10" s="336"/>
      <c r="F10" s="337"/>
      <c r="G10" s="334"/>
      <c r="H10" s="335" t="s">
        <v>222</v>
      </c>
      <c r="I10" s="336"/>
      <c r="J10" s="337"/>
      <c r="K10" s="334"/>
      <c r="L10" s="335" t="s">
        <v>222</v>
      </c>
      <c r="M10" s="336"/>
      <c r="N10" s="337"/>
      <c r="O10" s="334"/>
      <c r="P10" s="335" t="s">
        <v>222</v>
      </c>
      <c r="Q10" s="336"/>
      <c r="R10" s="337"/>
      <c r="S10" s="334"/>
      <c r="T10" s="335" t="s">
        <v>222</v>
      </c>
      <c r="U10" s="336"/>
      <c r="V10" s="337"/>
      <c r="W10" s="338">
        <f t="shared" si="0"/>
        <v>0</v>
      </c>
      <c r="X10" s="339"/>
      <c r="Y10" s="334">
        <f t="shared" si="1"/>
        <v>0</v>
      </c>
      <c r="Z10" s="335" t="s">
        <v>222</v>
      </c>
      <c r="AA10" s="340">
        <f t="shared" si="2"/>
        <v>0</v>
      </c>
      <c r="AB10" s="341">
        <f t="shared" si="3"/>
        <v>0</v>
      </c>
      <c r="AC10" s="210"/>
      <c r="AD10" s="211">
        <f t="shared" si="4"/>
        <v>253</v>
      </c>
      <c r="AE10" s="212">
        <f>IFERROR(INDEX(V!$R:$R,MATCH(AF10,V!$L:$L,0)),"")</f>
        <v>143</v>
      </c>
      <c r="AF10" s="213" t="str">
        <f t="shared" si="5"/>
        <v>Jaan Saar</v>
      </c>
      <c r="AG10" s="212">
        <f>IFERROR(INDEX(V!$R:$R,MATCH(AH10,V!$L:$L,0)),"")</f>
        <v>110</v>
      </c>
      <c r="AH10" s="213" t="str">
        <f t="shared" si="6"/>
        <v>Sander Rose</v>
      </c>
      <c r="AI10" s="212" t="str">
        <f>IFERROR(INDEX(V!$R:$R,MATCH(AJ10,V!$L:$L,0)),"")</f>
        <v/>
      </c>
      <c r="AJ10" s="213" t="str">
        <f t="shared" si="7"/>
        <v/>
      </c>
      <c r="AK10" s="212" t="str">
        <f>IFERROR(INDEX(V!$R:$R,MATCH(AL10,V!$L:$L,0)),"")</f>
        <v/>
      </c>
      <c r="AL10" s="213" t="str">
        <f t="shared" si="8"/>
        <v/>
      </c>
      <c r="AM10" s="212" t="str">
        <f>IFERROR(INDEX(V!$R:$R,MATCH(AN10,V!$L:$L,0)),"")</f>
        <v/>
      </c>
      <c r="AN10" s="213" t="str">
        <f t="shared" si="9"/>
        <v/>
      </c>
      <c r="AO10" s="212" t="str">
        <f>IFERROR(INDEX(V!$R:$R,MATCH(AP10,V!$L:$L,0)),"")</f>
        <v/>
      </c>
      <c r="AP10" s="213" t="str">
        <f t="shared" si="10"/>
        <v/>
      </c>
    </row>
    <row r="11" spans="1:42" x14ac:dyDescent="0.2">
      <c r="A11" s="333">
        <v>5</v>
      </c>
      <c r="B11" s="241" t="s">
        <v>279</v>
      </c>
      <c r="C11" s="334"/>
      <c r="D11" s="335" t="s">
        <v>222</v>
      </c>
      <c r="E11" s="336"/>
      <c r="F11" s="337"/>
      <c r="G11" s="334"/>
      <c r="H11" s="335" t="s">
        <v>222</v>
      </c>
      <c r="I11" s="336"/>
      <c r="J11" s="337"/>
      <c r="K11" s="334"/>
      <c r="L11" s="335" t="s">
        <v>222</v>
      </c>
      <c r="M11" s="336"/>
      <c r="N11" s="337"/>
      <c r="O11" s="334"/>
      <c r="P11" s="335" t="s">
        <v>222</v>
      </c>
      <c r="Q11" s="336"/>
      <c r="R11" s="337"/>
      <c r="S11" s="334"/>
      <c r="T11" s="335" t="s">
        <v>222</v>
      </c>
      <c r="U11" s="336"/>
      <c r="V11" s="337"/>
      <c r="W11" s="338">
        <f t="shared" si="0"/>
        <v>0</v>
      </c>
      <c r="X11" s="339"/>
      <c r="Y11" s="334">
        <f t="shared" si="1"/>
        <v>0</v>
      </c>
      <c r="Z11" s="335" t="s">
        <v>222</v>
      </c>
      <c r="AA11" s="340">
        <f t="shared" si="2"/>
        <v>0</v>
      </c>
      <c r="AB11" s="341">
        <f t="shared" si="3"/>
        <v>0</v>
      </c>
      <c r="AC11" s="210"/>
      <c r="AD11" s="211">
        <f t="shared" si="4"/>
        <v>241</v>
      </c>
      <c r="AE11" s="212">
        <f>IFERROR(INDEX(V!$R:$R,MATCH(AF11,V!$L:$L,0)),"")</f>
        <v>98</v>
      </c>
      <c r="AF11" s="213" t="str">
        <f t="shared" si="5"/>
        <v>Annaliset Neiland</v>
      </c>
      <c r="AG11" s="212">
        <f>IFERROR(INDEX(V!$R:$R,MATCH(AH11,V!$L:$L,0)),"")</f>
        <v>143</v>
      </c>
      <c r="AH11" s="213" t="str">
        <f t="shared" si="6"/>
        <v>Hillar Neiland</v>
      </c>
      <c r="AI11" s="212" t="str">
        <f>IFERROR(INDEX(V!$R:$R,MATCH(AJ11,V!$L:$L,0)),"")</f>
        <v/>
      </c>
      <c r="AJ11" s="213" t="str">
        <f t="shared" si="7"/>
        <v/>
      </c>
      <c r="AK11" s="212" t="str">
        <f>IFERROR(INDEX(V!$R:$R,MATCH(AL11,V!$L:$L,0)),"")</f>
        <v/>
      </c>
      <c r="AL11" s="213" t="str">
        <f t="shared" si="8"/>
        <v/>
      </c>
      <c r="AM11" s="212" t="str">
        <f>IFERROR(INDEX(V!$R:$R,MATCH(AN11,V!$L:$L,0)),"")</f>
        <v/>
      </c>
      <c r="AN11" s="213" t="str">
        <f t="shared" si="9"/>
        <v/>
      </c>
      <c r="AO11" s="212" t="str">
        <f>IFERROR(INDEX(V!$R:$R,MATCH(AP11,V!$L:$L,0)),"")</f>
        <v/>
      </c>
      <c r="AP11" s="213" t="str">
        <f t="shared" si="10"/>
        <v/>
      </c>
    </row>
    <row r="12" spans="1:42" x14ac:dyDescent="0.2">
      <c r="A12" s="333">
        <v>6</v>
      </c>
      <c r="B12" s="255" t="s">
        <v>261</v>
      </c>
      <c r="C12" s="334"/>
      <c r="D12" s="335" t="s">
        <v>222</v>
      </c>
      <c r="E12" s="336"/>
      <c r="F12" s="337"/>
      <c r="G12" s="334"/>
      <c r="H12" s="335" t="s">
        <v>222</v>
      </c>
      <c r="I12" s="336"/>
      <c r="J12" s="337"/>
      <c r="K12" s="334"/>
      <c r="L12" s="335" t="s">
        <v>222</v>
      </c>
      <c r="M12" s="336"/>
      <c r="N12" s="337"/>
      <c r="O12" s="334"/>
      <c r="P12" s="335" t="s">
        <v>222</v>
      </c>
      <c r="Q12" s="336"/>
      <c r="R12" s="337"/>
      <c r="S12" s="334"/>
      <c r="T12" s="335" t="s">
        <v>222</v>
      </c>
      <c r="U12" s="336"/>
      <c r="V12" s="337"/>
      <c r="W12" s="338">
        <f t="shared" si="0"/>
        <v>0</v>
      </c>
      <c r="X12" s="339"/>
      <c r="Y12" s="334">
        <f t="shared" si="1"/>
        <v>0</v>
      </c>
      <c r="Z12" s="335" t="s">
        <v>222</v>
      </c>
      <c r="AA12" s="340">
        <f t="shared" si="2"/>
        <v>0</v>
      </c>
      <c r="AB12" s="341">
        <f t="shared" si="3"/>
        <v>0</v>
      </c>
      <c r="AC12" s="210"/>
      <c r="AD12" s="211">
        <f t="shared" ref="AD12:AD13" si="11">SUM(AE12:AL12)</f>
        <v>106</v>
      </c>
      <c r="AE12" s="212">
        <f>IFERROR(INDEX(V!$R:$R,MATCH(AF12,V!$L:$L,0)),"")</f>
        <v>53</v>
      </c>
      <c r="AF12" s="213" t="str">
        <f t="shared" si="5"/>
        <v>Lemmit Toomra</v>
      </c>
      <c r="AG12" s="212">
        <f>IFERROR(INDEX(V!$R:$R,MATCH(AH12,V!$L:$L,0)),"")</f>
        <v>53</v>
      </c>
      <c r="AH12" s="213" t="str">
        <f t="shared" si="6"/>
        <v>Tõnu Kapper</v>
      </c>
      <c r="AI12" s="212" t="str">
        <f>IFERROR(INDEX(V!$R:$R,MATCH(AJ12,V!$L:$L,0)),"")</f>
        <v/>
      </c>
      <c r="AJ12" s="213" t="str">
        <f t="shared" si="7"/>
        <v/>
      </c>
      <c r="AK12" s="212" t="str">
        <f>IFERROR(INDEX(V!$R:$R,MATCH(AL12,V!$L:$L,0)),"")</f>
        <v/>
      </c>
      <c r="AL12" s="213" t="str">
        <f t="shared" si="8"/>
        <v/>
      </c>
      <c r="AM12" s="212" t="str">
        <f>IFERROR(INDEX(V!$R:$R,MATCH(AN12,V!$L:$L,0)),"")</f>
        <v/>
      </c>
      <c r="AN12" s="213" t="str">
        <f t="shared" si="9"/>
        <v/>
      </c>
      <c r="AO12" s="212" t="str">
        <f>IFERROR(INDEX(V!$R:$R,MATCH(AP12,V!$L:$L,0)),"")</f>
        <v/>
      </c>
      <c r="AP12" s="213" t="str">
        <f t="shared" si="10"/>
        <v/>
      </c>
    </row>
    <row r="13" spans="1:42" x14ac:dyDescent="0.2">
      <c r="A13" s="333">
        <v>7</v>
      </c>
      <c r="B13" s="342" t="s">
        <v>227</v>
      </c>
      <c r="C13" s="334"/>
      <c r="D13" s="335" t="s">
        <v>222</v>
      </c>
      <c r="E13" s="336"/>
      <c r="F13" s="337"/>
      <c r="G13" s="334"/>
      <c r="H13" s="335" t="s">
        <v>222</v>
      </c>
      <c r="I13" s="336"/>
      <c r="J13" s="337"/>
      <c r="K13" s="334"/>
      <c r="L13" s="335" t="s">
        <v>222</v>
      </c>
      <c r="M13" s="336"/>
      <c r="N13" s="337"/>
      <c r="O13" s="334"/>
      <c r="P13" s="335" t="s">
        <v>222</v>
      </c>
      <c r="Q13" s="336"/>
      <c r="R13" s="337"/>
      <c r="S13" s="334"/>
      <c r="T13" s="335" t="s">
        <v>222</v>
      </c>
      <c r="U13" s="336"/>
      <c r="V13" s="337"/>
      <c r="W13" s="338">
        <f t="shared" si="0"/>
        <v>0</v>
      </c>
      <c r="X13" s="339"/>
      <c r="Y13" s="334">
        <f t="shared" si="1"/>
        <v>0</v>
      </c>
      <c r="Z13" s="335" t="s">
        <v>222</v>
      </c>
      <c r="AA13" s="340">
        <f t="shared" si="2"/>
        <v>0</v>
      </c>
      <c r="AB13" s="341">
        <f t="shared" si="3"/>
        <v>0</v>
      </c>
      <c r="AC13" s="210"/>
      <c r="AD13" s="211">
        <f t="shared" si="11"/>
        <v>232</v>
      </c>
      <c r="AE13" s="212">
        <f>IFERROR(INDEX(V!$R:$R,MATCH(AF13,V!$L:$L,0)),"")</f>
        <v>115</v>
      </c>
      <c r="AF13" s="213" t="str">
        <f t="shared" si="5"/>
        <v>Oksana Rõndenkova</v>
      </c>
      <c r="AG13" s="212">
        <f>IFERROR(INDEX(V!$R:$R,MATCH(AH13,V!$L:$L,0)),"")</f>
        <v>117</v>
      </c>
      <c r="AH13" s="213" t="str">
        <f t="shared" si="6"/>
        <v>Oleg Rõndenkov</v>
      </c>
      <c r="AI13" s="212" t="str">
        <f>IFERROR(INDEX(V!$R:$R,MATCH(AJ13,V!$L:$L,0)),"")</f>
        <v/>
      </c>
      <c r="AJ13" s="213" t="str">
        <f t="shared" si="7"/>
        <v/>
      </c>
      <c r="AK13" s="212" t="str">
        <f>IFERROR(INDEX(V!$R:$R,MATCH(AL13,V!$L:$L,0)),"")</f>
        <v/>
      </c>
      <c r="AL13" s="213" t="str">
        <f t="shared" si="8"/>
        <v/>
      </c>
      <c r="AM13" s="212" t="str">
        <f>IFERROR(INDEX(V!$R:$R,MATCH(AN13,V!$L:$L,0)),"")</f>
        <v/>
      </c>
      <c r="AN13" s="213" t="str">
        <f t="shared" si="9"/>
        <v/>
      </c>
      <c r="AO13" s="212" t="str">
        <f>IFERROR(INDEX(V!$R:$R,MATCH(AP13,V!$L:$L,0)),"")</f>
        <v/>
      </c>
      <c r="AP13" s="213" t="str">
        <f t="shared" si="10"/>
        <v/>
      </c>
    </row>
    <row r="14" spans="1:42" x14ac:dyDescent="0.2">
      <c r="A14" s="333">
        <v>8</v>
      </c>
      <c r="B14" s="255" t="s">
        <v>313</v>
      </c>
      <c r="C14" s="334"/>
      <c r="D14" s="335" t="s">
        <v>222</v>
      </c>
      <c r="E14" s="336"/>
      <c r="F14" s="337"/>
      <c r="G14" s="334"/>
      <c r="H14" s="335" t="s">
        <v>222</v>
      </c>
      <c r="I14" s="336"/>
      <c r="J14" s="337"/>
      <c r="K14" s="334"/>
      <c r="L14" s="335" t="s">
        <v>222</v>
      </c>
      <c r="M14" s="336"/>
      <c r="N14" s="337"/>
      <c r="O14" s="334"/>
      <c r="P14" s="335" t="s">
        <v>222</v>
      </c>
      <c r="Q14" s="336"/>
      <c r="R14" s="337"/>
      <c r="S14" s="334"/>
      <c r="T14" s="335" t="s">
        <v>222</v>
      </c>
      <c r="U14" s="336"/>
      <c r="V14" s="337"/>
      <c r="W14" s="338">
        <f t="shared" ref="W14:W16" si="12">IF(C14&gt;E14,W$2,IF(C14&lt;E14,W$4,IF(ISNUMBER(C14),W$3,0)))+IF(G14&gt;I14,W$2,IF(G14&lt;I14,W$4,IF(ISNUMBER(G14),W$3,0)))+IF(K14&gt;M14,W$2,IF(K14&lt;M14,W$4,IF(ISNUMBER(K14),W$3,0)))+IF(O14&gt;Q14,W$2,IF(O14&lt;Q14,W$4,IF(ISNUMBER(O14),W$3,0)))+IF(S14&gt;U14,W$2,IF(S14&lt;U14,W$4,IF(ISNUMBER(S14),W$3,0)))</f>
        <v>0</v>
      </c>
      <c r="X14" s="339"/>
      <c r="Y14" s="334">
        <f t="shared" ref="Y14:Y16" si="13">C14+G14+K14+O14+S14</f>
        <v>0</v>
      </c>
      <c r="Z14" s="335" t="s">
        <v>222</v>
      </c>
      <c r="AA14" s="340">
        <f t="shared" ref="AA14:AA16" si="14">E14+I14+M14+Q14+U14</f>
        <v>0</v>
      </c>
      <c r="AB14" s="341">
        <f t="shared" ref="AB14:AB16" si="15">Y14-AA14</f>
        <v>0</v>
      </c>
      <c r="AD14" s="211">
        <f t="shared" ref="AD14:AD16" si="16">SUM(AE14:AL14)</f>
        <v>157</v>
      </c>
      <c r="AE14" s="212">
        <f>IFERROR(INDEX(V!$R:$R,MATCH(AF14,V!$L:$L,0)),"")</f>
        <v>23</v>
      </c>
      <c r="AF14" s="213" t="str">
        <f t="shared" si="5"/>
        <v>Elmo Lageda</v>
      </c>
      <c r="AG14" s="212">
        <f>IFERROR(INDEX(V!$R:$R,MATCH(AH14,V!$L:$L,0)),"")</f>
        <v>134</v>
      </c>
      <c r="AH14" s="213" t="str">
        <f t="shared" si="6"/>
        <v>Urmas Randlaine</v>
      </c>
      <c r="AI14" s="212" t="str">
        <f>IFERROR(INDEX(V!$R:$R,MATCH(AJ14,V!$L:$L,0)),"")</f>
        <v/>
      </c>
      <c r="AJ14" s="213" t="str">
        <f t="shared" si="7"/>
        <v/>
      </c>
      <c r="AK14" s="212" t="str">
        <f>IFERROR(INDEX(V!$R:$R,MATCH(AL14,V!$L:$L,0)),"")</f>
        <v/>
      </c>
      <c r="AL14" s="213" t="str">
        <f t="shared" si="8"/>
        <v/>
      </c>
      <c r="AM14" s="212" t="str">
        <f>IFERROR(INDEX(V!$R:$R,MATCH(AN14,V!$L:$L,0)),"")</f>
        <v/>
      </c>
      <c r="AN14" s="213" t="str">
        <f t="shared" si="9"/>
        <v/>
      </c>
      <c r="AO14" s="212" t="str">
        <f>IFERROR(INDEX(V!$R:$R,MATCH(AP14,V!$L:$L,0)),"")</f>
        <v/>
      </c>
      <c r="AP14" s="213" t="str">
        <f t="shared" si="10"/>
        <v/>
      </c>
    </row>
    <row r="15" spans="1:42" x14ac:dyDescent="0.2">
      <c r="A15" s="333">
        <v>9</v>
      </c>
      <c r="B15" s="342" t="s">
        <v>314</v>
      </c>
      <c r="C15" s="334"/>
      <c r="D15" s="335" t="s">
        <v>222</v>
      </c>
      <c r="E15" s="336"/>
      <c r="F15" s="337"/>
      <c r="G15" s="334"/>
      <c r="H15" s="335" t="s">
        <v>222</v>
      </c>
      <c r="I15" s="336"/>
      <c r="J15" s="337"/>
      <c r="K15" s="334"/>
      <c r="L15" s="335" t="s">
        <v>222</v>
      </c>
      <c r="M15" s="336"/>
      <c r="N15" s="337"/>
      <c r="O15" s="334"/>
      <c r="P15" s="335" t="s">
        <v>222</v>
      </c>
      <c r="Q15" s="336"/>
      <c r="R15" s="337"/>
      <c r="S15" s="334"/>
      <c r="T15" s="335" t="s">
        <v>222</v>
      </c>
      <c r="U15" s="336"/>
      <c r="V15" s="337"/>
      <c r="W15" s="338">
        <f t="shared" si="12"/>
        <v>0</v>
      </c>
      <c r="X15" s="339"/>
      <c r="Y15" s="334">
        <f t="shared" si="13"/>
        <v>0</v>
      </c>
      <c r="Z15" s="335" t="s">
        <v>222</v>
      </c>
      <c r="AA15" s="340">
        <f t="shared" si="14"/>
        <v>0</v>
      </c>
      <c r="AB15" s="341">
        <f t="shared" si="15"/>
        <v>0</v>
      </c>
      <c r="AD15" s="211">
        <f t="shared" si="16"/>
        <v>8</v>
      </c>
      <c r="AE15" s="212">
        <f>IFERROR(INDEX(V!$R:$R,MATCH(AF15,V!$L:$L,0)),"")</f>
        <v>4</v>
      </c>
      <c r="AF15" s="213" t="str">
        <f t="shared" si="5"/>
        <v>Aurelia Meldre</v>
      </c>
      <c r="AG15" s="212">
        <f>IFERROR(INDEX(V!$R:$R,MATCH(AH15,V!$L:$L,0)),"")</f>
        <v>4</v>
      </c>
      <c r="AH15" s="213" t="str">
        <f t="shared" si="6"/>
        <v>Ksenija Matšneva</v>
      </c>
      <c r="AI15" s="212" t="str">
        <f>IFERROR(INDEX(V!$R:$R,MATCH(AJ15,V!$L:$L,0)),"")</f>
        <v/>
      </c>
      <c r="AJ15" s="213" t="str">
        <f t="shared" si="7"/>
        <v/>
      </c>
      <c r="AK15" s="212" t="str">
        <f>IFERROR(INDEX(V!$R:$R,MATCH(AL15,V!$L:$L,0)),"")</f>
        <v/>
      </c>
      <c r="AL15" s="213" t="str">
        <f t="shared" si="8"/>
        <v/>
      </c>
      <c r="AM15" s="212" t="str">
        <f>IFERROR(INDEX(V!$R:$R,MATCH(AN15,V!$L:$L,0)),"")</f>
        <v/>
      </c>
      <c r="AN15" s="213" t="str">
        <f t="shared" si="9"/>
        <v/>
      </c>
      <c r="AO15" s="212" t="str">
        <f>IFERROR(INDEX(V!$R:$R,MATCH(AP15,V!$L:$L,0)),"")</f>
        <v/>
      </c>
      <c r="AP15" s="213" t="str">
        <f t="shared" si="10"/>
        <v/>
      </c>
    </row>
    <row r="16" spans="1:42" x14ac:dyDescent="0.2">
      <c r="A16" s="333">
        <v>10</v>
      </c>
      <c r="B16" s="255" t="s">
        <v>276</v>
      </c>
      <c r="C16" s="334"/>
      <c r="D16" s="335" t="s">
        <v>222</v>
      </c>
      <c r="E16" s="336"/>
      <c r="F16" s="337"/>
      <c r="G16" s="334"/>
      <c r="H16" s="335" t="s">
        <v>222</v>
      </c>
      <c r="I16" s="336"/>
      <c r="J16" s="337"/>
      <c r="K16" s="334"/>
      <c r="L16" s="335" t="s">
        <v>222</v>
      </c>
      <c r="M16" s="336"/>
      <c r="N16" s="337"/>
      <c r="O16" s="334"/>
      <c r="P16" s="335" t="s">
        <v>222</v>
      </c>
      <c r="Q16" s="336"/>
      <c r="R16" s="337"/>
      <c r="S16" s="334"/>
      <c r="T16" s="335" t="s">
        <v>222</v>
      </c>
      <c r="U16" s="336"/>
      <c r="V16" s="337"/>
      <c r="W16" s="338">
        <f t="shared" si="12"/>
        <v>0</v>
      </c>
      <c r="X16" s="339"/>
      <c r="Y16" s="334">
        <f t="shared" si="13"/>
        <v>0</v>
      </c>
      <c r="Z16" s="335" t="s">
        <v>222</v>
      </c>
      <c r="AA16" s="340">
        <f t="shared" si="14"/>
        <v>0</v>
      </c>
      <c r="AB16" s="341">
        <f t="shared" si="15"/>
        <v>0</v>
      </c>
      <c r="AD16" s="211">
        <f t="shared" si="16"/>
        <v>122</v>
      </c>
      <c r="AE16" s="212">
        <f>IFERROR(INDEX(V!$R:$R,MATCH(AF16,V!$L:$L,0)),"")</f>
        <v>25</v>
      </c>
      <c r="AF16" s="213" t="str">
        <f t="shared" si="5"/>
        <v>Airi Veski</v>
      </c>
      <c r="AG16" s="212" t="str">
        <f>IFERROR(INDEX(V!$R:$R,MATCH(AH16,V!$L:$L,0)),"")</f>
        <v/>
      </c>
      <c r="AH16" s="213" t="str">
        <f t="shared" si="6"/>
        <v>Andres Veski, Svetlana Veski</v>
      </c>
      <c r="AI16" s="212">
        <f>IFERROR(INDEX(V!$R:$R,MATCH(AJ16,V!$L:$L,0)),"")</f>
        <v>42</v>
      </c>
      <c r="AJ16" s="213" t="str">
        <f t="shared" si="7"/>
        <v>Andres Veski</v>
      </c>
      <c r="AK16" s="212">
        <f>IFERROR(INDEX(V!$R:$R,MATCH(AL16,V!$L:$L,0)),"")</f>
        <v>55</v>
      </c>
      <c r="AL16" s="213" t="str">
        <f t="shared" si="8"/>
        <v>Svetlana Veski</v>
      </c>
      <c r="AM16" s="212" t="str">
        <f>IFERROR(INDEX(V!$R:$R,MATCH(AN16,V!$L:$L,0)),"")</f>
        <v/>
      </c>
      <c r="AN16" s="213" t="str">
        <f t="shared" si="9"/>
        <v/>
      </c>
      <c r="AO16" s="212" t="str">
        <f>IFERROR(INDEX(V!$R:$R,MATCH(AP16,V!$L:$L,0)),"")</f>
        <v/>
      </c>
      <c r="AP16" s="213" t="str">
        <f t="shared" si="10"/>
        <v/>
      </c>
    </row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9" spans="1:6" x14ac:dyDescent="0.2">
      <c r="A299" s="157"/>
      <c r="B299" s="157"/>
      <c r="C299" s="207" t="s">
        <v>190</v>
      </c>
      <c r="F299" s="724" t="s">
        <v>79</v>
      </c>
    </row>
    <row r="300" spans="1:6" x14ac:dyDescent="0.2">
      <c r="A300" s="301">
        <v>1</v>
      </c>
      <c r="B300" s="344" t="str">
        <f>IFERROR(INDEX(B$1:B$100,MATCH(A300,A$1:A$100,0)),"")</f>
        <v>Kaspar Mänd, Olav Türk</v>
      </c>
      <c r="C300" s="274">
        <f>LARGE(A300:A400,1)*2+2-A300*2</f>
        <v>20</v>
      </c>
      <c r="F300" s="724">
        <v>4</v>
      </c>
    </row>
    <row r="301" spans="1:6" x14ac:dyDescent="0.2">
      <c r="A301" s="301">
        <v>2</v>
      </c>
      <c r="B301" s="344" t="str">
        <f t="shared" ref="B301:B306" si="17">IFERROR(INDEX(B$1:B$100,MATCH(A301,A$1:A$100,0)),"")</f>
        <v>Enn Tokman, Kenneth Muusikus</v>
      </c>
      <c r="C301" s="274">
        <f t="shared" ref="C301:C309" si="18">LARGE(A301:A401,1)*2+2-A301*2</f>
        <v>18</v>
      </c>
      <c r="F301" s="724">
        <v>3</v>
      </c>
    </row>
    <row r="302" spans="1:6" x14ac:dyDescent="0.2">
      <c r="A302" s="301">
        <v>3</v>
      </c>
      <c r="B302" s="344" t="str">
        <f t="shared" si="17"/>
        <v>Ivar Viljaste, Janek Tarto</v>
      </c>
      <c r="C302" s="274">
        <f t="shared" si="18"/>
        <v>16</v>
      </c>
      <c r="F302" s="724">
        <v>3</v>
      </c>
    </row>
    <row r="303" spans="1:6" x14ac:dyDescent="0.2">
      <c r="A303" s="301">
        <v>4</v>
      </c>
      <c r="B303" s="344" t="str">
        <f t="shared" si="17"/>
        <v>Jaan Saar, Sander Rose</v>
      </c>
      <c r="C303" s="274">
        <f t="shared" si="18"/>
        <v>14</v>
      </c>
      <c r="F303" s="724">
        <v>2</v>
      </c>
    </row>
    <row r="304" spans="1:6" x14ac:dyDescent="0.2">
      <c r="A304" s="301">
        <v>5</v>
      </c>
      <c r="B304" s="344" t="str">
        <f t="shared" si="17"/>
        <v>Annaliset Neiland, Hillar Neiland</v>
      </c>
      <c r="C304" s="274">
        <f t="shared" si="18"/>
        <v>12</v>
      </c>
      <c r="F304" s="724">
        <v>2</v>
      </c>
    </row>
    <row r="305" spans="1:6" x14ac:dyDescent="0.2">
      <c r="A305" s="301">
        <v>6</v>
      </c>
      <c r="B305" s="344" t="str">
        <f t="shared" si="17"/>
        <v>Lemmit Toomra, Tõnu Kapper</v>
      </c>
      <c r="C305" s="274">
        <f t="shared" si="18"/>
        <v>10</v>
      </c>
      <c r="F305" s="724">
        <v>2</v>
      </c>
    </row>
    <row r="306" spans="1:6" x14ac:dyDescent="0.2">
      <c r="A306" s="301">
        <v>7</v>
      </c>
      <c r="B306" s="344" t="str">
        <f t="shared" si="17"/>
        <v>Oksana Rõndenkova, Oleg Rõndenkov</v>
      </c>
      <c r="C306" s="274">
        <f t="shared" si="18"/>
        <v>8</v>
      </c>
      <c r="F306" s="724">
        <v>2</v>
      </c>
    </row>
    <row r="307" spans="1:6" x14ac:dyDescent="0.2">
      <c r="A307" s="301">
        <v>8</v>
      </c>
      <c r="B307" s="344" t="str">
        <f t="shared" ref="B307:B309" si="19">IFERROR(INDEX(B$1:B$100,MATCH(A307,A$1:A$100,0)),"")</f>
        <v>Elmo Lageda, Urmas Randlaine</v>
      </c>
      <c r="C307" s="274">
        <f t="shared" si="18"/>
        <v>6</v>
      </c>
      <c r="F307" s="724">
        <v>1</v>
      </c>
    </row>
    <row r="308" spans="1:6" x14ac:dyDescent="0.2">
      <c r="A308" s="301">
        <v>9</v>
      </c>
      <c r="B308" s="344" t="str">
        <f t="shared" si="19"/>
        <v>Aurelia Meldre, Ksenija Matšneva</v>
      </c>
      <c r="C308" s="274">
        <f t="shared" si="18"/>
        <v>4</v>
      </c>
      <c r="F308" s="724">
        <v>1</v>
      </c>
    </row>
    <row r="309" spans="1:6" x14ac:dyDescent="0.2">
      <c r="A309" s="301">
        <v>10</v>
      </c>
      <c r="B309" s="344" t="str">
        <f t="shared" si="19"/>
        <v>Airi Veski, Andres Veski, Svetlana Veski</v>
      </c>
      <c r="C309" s="274">
        <f t="shared" si="18"/>
        <v>2</v>
      </c>
      <c r="F309" s="724">
        <v>0</v>
      </c>
    </row>
  </sheetData>
  <conditionalFormatting sqref="C7:C16 G7:G16 K7:K16 O7:O16 S7:S16">
    <cfRule type="expression" dxfId="564" priority="12">
      <formula>AND(C7=0,E7=13)</formula>
    </cfRule>
  </conditionalFormatting>
  <conditionalFormatting sqref="C7:C16">
    <cfRule type="expression" dxfId="563" priority="26">
      <formula>IF($C7&gt;$E7,TRUE)</formula>
    </cfRule>
  </conditionalFormatting>
  <conditionalFormatting sqref="E7:E16">
    <cfRule type="expression" dxfId="562" priority="27">
      <formula>IF($C7&lt;$E7,TRUE)</formula>
    </cfRule>
  </conditionalFormatting>
  <conditionalFormatting sqref="K7:K16">
    <cfRule type="expression" dxfId="561" priority="34">
      <formula>IF($K7&gt;$M7,TRUE)</formula>
    </cfRule>
  </conditionalFormatting>
  <conditionalFormatting sqref="M7:M16">
    <cfRule type="expression" dxfId="560" priority="35">
      <formula>IF($K7&lt;$M7,TRUE)</formula>
    </cfRule>
  </conditionalFormatting>
  <conditionalFormatting sqref="O7:O16">
    <cfRule type="expression" dxfId="559" priority="38">
      <formula>IF($O7&gt;$Q7,TRUE)</formula>
    </cfRule>
  </conditionalFormatting>
  <conditionalFormatting sqref="Q7:Q16">
    <cfRule type="expression" dxfId="558" priority="39">
      <formula>IF($O7&lt;$Q7,TRUE)</formula>
    </cfRule>
  </conditionalFormatting>
  <conditionalFormatting sqref="S7:S16">
    <cfRule type="expression" dxfId="557" priority="42">
      <formula>IF($S7&gt;$U7,TRUE)</formula>
    </cfRule>
  </conditionalFormatting>
  <conditionalFormatting sqref="U7:U16">
    <cfRule type="expression" dxfId="556" priority="43">
      <formula>IF($S7&lt;$U7,TRUE)</formula>
    </cfRule>
  </conditionalFormatting>
  <conditionalFormatting sqref="G7:G16">
    <cfRule type="expression" dxfId="555" priority="30">
      <formula>IF($G7&gt;$I7,TRUE)</formula>
    </cfRule>
  </conditionalFormatting>
  <conditionalFormatting sqref="I7:I16">
    <cfRule type="expression" dxfId="554" priority="31">
      <formula>IF($G7&lt;$I7,TRUE)</formula>
    </cfRule>
  </conditionalFormatting>
  <conditionalFormatting sqref="F7:F16">
    <cfRule type="containsText" dxfId="553" priority="17" operator="containsText" text="vaba voor">
      <formula>NOT(ISERROR(SEARCH("vaba voor",F7)))</formula>
    </cfRule>
  </conditionalFormatting>
  <conditionalFormatting sqref="N7:N16">
    <cfRule type="containsText" dxfId="552" priority="15" operator="containsText" text="vaba voor">
      <formula>NOT(ISERROR(SEARCH("vaba voor",N7)))</formula>
    </cfRule>
  </conditionalFormatting>
  <conditionalFormatting sqref="R7:R16">
    <cfRule type="containsText" dxfId="551" priority="18" operator="containsText" text="vaba voor">
      <formula>NOT(ISERROR(SEARCH("vaba voor",R7)))</formula>
    </cfRule>
  </conditionalFormatting>
  <conditionalFormatting sqref="V7:V16">
    <cfRule type="containsText" dxfId="550" priority="14" operator="containsText" text="vaba voor">
      <formula>NOT(ISERROR(SEARCH("vaba voor",V7)))</formula>
    </cfRule>
  </conditionalFormatting>
  <conditionalFormatting sqref="J7:J16">
    <cfRule type="containsText" dxfId="549" priority="16" operator="containsText" text="vaba voor">
      <formula>NOT(ISERROR(SEARCH("vaba voor",J7)))</formula>
    </cfRule>
  </conditionalFormatting>
  <conditionalFormatting sqref="C7:F16">
    <cfRule type="expression" dxfId="548" priority="22">
      <formula>IF(AND(ISNUMBER($C7),$C7=$E7),TRUE)</formula>
    </cfRule>
    <cfRule type="expression" dxfId="547" priority="24">
      <formula>IF($C7&gt;$E7,TRUE)</formula>
    </cfRule>
    <cfRule type="expression" dxfId="546" priority="25">
      <formula>IF($C7&lt;$E7,TRUE)</formula>
    </cfRule>
  </conditionalFormatting>
  <conditionalFormatting sqref="G7:J16">
    <cfRule type="expression" dxfId="545" priority="23">
      <formula>IF(AND(ISNUMBER($G7),$G7=$I7),TRUE)</formula>
    </cfRule>
    <cfRule type="expression" dxfId="544" priority="28">
      <formula>IF($G7&gt;$I7,TRUE)</formula>
    </cfRule>
    <cfRule type="expression" dxfId="543" priority="29">
      <formula>IF($G7&lt;$I7,TRUE)</formula>
    </cfRule>
  </conditionalFormatting>
  <conditionalFormatting sqref="K7:N16">
    <cfRule type="expression" dxfId="542" priority="21">
      <formula>IF(AND(ISNUMBER($K7),$K7=$M7),TRUE)</formula>
    </cfRule>
    <cfRule type="expression" dxfId="541" priority="32">
      <formula>IF($K7&gt;$M7,TRUE)</formula>
    </cfRule>
    <cfRule type="expression" dxfId="540" priority="33">
      <formula>IF($K7&lt;$M7,TRUE)</formula>
    </cfRule>
  </conditionalFormatting>
  <conditionalFormatting sqref="O7:R16">
    <cfRule type="expression" dxfId="539" priority="20">
      <formula>IF(AND(ISNUMBER($O7),$O7=$Q7),TRUE)</formula>
    </cfRule>
    <cfRule type="expression" dxfId="538" priority="36">
      <formula>IF($O7&gt;$Q7,TRUE)</formula>
    </cfRule>
    <cfRule type="expression" dxfId="537" priority="37">
      <formula>IF($O7&lt;$Q7,TRUE)</formula>
    </cfRule>
  </conditionalFormatting>
  <conditionalFormatting sqref="S7:V16">
    <cfRule type="expression" dxfId="536" priority="19">
      <formula>IF(AND(ISNUMBER($S7),$S7=$U7),TRUE)</formula>
    </cfRule>
    <cfRule type="expression" dxfId="535" priority="40">
      <formula>IF($S7&gt;$U7,TRUE)</formula>
    </cfRule>
    <cfRule type="expression" dxfId="534" priority="41">
      <formula>IF($S7&lt;$U7,TRUE)</formula>
    </cfRule>
  </conditionalFormatting>
  <conditionalFormatting sqref="E7:E16 I7:I16 M7:M16 Q7:Q16 U7:U16">
    <cfRule type="expression" dxfId="533" priority="13">
      <formula>AND(E7=0,C7=13)</formula>
    </cfRule>
  </conditionalFormatting>
  <conditionalFormatting sqref="A7:A16">
    <cfRule type="duplicateValues" dxfId="532" priority="44"/>
  </conditionalFormatting>
  <conditionalFormatting sqref="AJ7:AJ16">
    <cfRule type="expression" dxfId="531" priority="5">
      <formula>AND(AI7="",FIND(",",AJ7))</formula>
    </cfRule>
    <cfRule type="expression" dxfId="530" priority="7">
      <formula>AND(AI7="",COUNTIF(AJ7,"*,*")=0)</formula>
    </cfRule>
  </conditionalFormatting>
  <conditionalFormatting sqref="AH7:AH16">
    <cfRule type="expression" dxfId="529" priority="8">
      <formula>AND(AG7="",FIND(",",AH7))</formula>
    </cfRule>
    <cfRule type="expression" dxfId="528" priority="9">
      <formula>AND(AG7="",COUNTIF(AH7,"*,*")=0)</formula>
    </cfRule>
  </conditionalFormatting>
  <conditionalFormatting sqref="AL7:AL16">
    <cfRule type="expression" dxfId="527" priority="10">
      <formula>AND(AK7="",FIND(",",AL7))</formula>
    </cfRule>
    <cfRule type="expression" dxfId="526" priority="11">
      <formula>AND(AK7="",COUNTIF(AL7,"*,*")=0)</formula>
    </cfRule>
  </conditionalFormatting>
  <conditionalFormatting sqref="AF7:AF16">
    <cfRule type="expression" dxfId="525" priority="6">
      <formula>AND(AE7="",COUNTIF(AF7,"*,*")=0)</formula>
    </cfRule>
  </conditionalFormatting>
  <conditionalFormatting sqref="AN7:AN16">
    <cfRule type="expression" dxfId="524" priority="2">
      <formula>AND(AM7="",COUNTIF(AN7,"*,*")=0)</formula>
    </cfRule>
    <cfRule type="expression" dxfId="523" priority="4">
      <formula>AND(AM7="",FIND(",",AN7))</formula>
    </cfRule>
  </conditionalFormatting>
  <conditionalFormatting sqref="AP7:AP16">
    <cfRule type="expression" dxfId="522" priority="1">
      <formula>AND(AO7="",COUNTIF(AP7,"*,*")=0)</formula>
    </cfRule>
    <cfRule type="expression" dxfId="521" priority="3">
      <formula>AND(AO7="",FIND(",",AP7))</formula>
    </cfRule>
  </conditionalFormatting>
  <conditionalFormatting sqref="B300:B309">
    <cfRule type="expression" dxfId="520" priority="45">
      <formula>A300=3</formula>
    </cfRule>
    <cfRule type="expression" dxfId="519" priority="46">
      <formula>A300=2</formula>
    </cfRule>
    <cfRule type="expression" dxfId="518" priority="47">
      <formula>A300=1</formula>
    </cfRule>
    <cfRule type="containsBlanks" dxfId="517" priority="48">
      <formula>LEN(TRIM(B300))=0</formula>
    </cfRule>
    <cfRule type="duplicateValues" dxfId="516" priority="49"/>
  </conditionalFormatting>
  <pageMargins left="0.78740157480314965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Kalend</vt:lpstr>
      <vt:lpstr>Kal E</vt:lpstr>
      <vt:lpstr>V</vt:lpstr>
      <vt:lpstr>V1</vt:lpstr>
      <vt:lpstr>V2</vt:lpstr>
      <vt:lpstr>V3</vt:lpstr>
      <vt:lpstr>iv-d</vt:lpstr>
      <vt:lpstr>V4</vt:lpstr>
      <vt:lpstr>V5</vt:lpstr>
      <vt:lpstr>V6</vt:lpstr>
      <vt:lpstr>V7</vt:lpstr>
      <vt:lpstr>V8</vt:lpstr>
      <vt:lpstr>V9</vt:lpstr>
      <vt:lpstr>V10</vt:lpstr>
      <vt:lpstr>ETAPP</vt:lpstr>
      <vt:lpstr>'iv-d'!Print_Titles</vt:lpstr>
      <vt:lpstr>'Kal E'!Print_Titles</vt:lpstr>
      <vt:lpstr>Kalend!Print_Titles</vt:lpstr>
      <vt:lpstr>V!Print_Titles</vt:lpstr>
      <vt:lpstr>'V1'!Print_Titles</vt:lpstr>
      <vt:lpstr>'V10'!Print_Titles</vt:lpstr>
      <vt:lpstr>'V2'!Print_Titles</vt:lpstr>
      <vt:lpstr>'V3'!Print_Titles</vt:lpstr>
      <vt:lpstr>'V4'!Print_Titles</vt:lpstr>
      <vt:lpstr>'V5'!Print_Titles</vt:lpstr>
      <vt:lpstr>'V6'!Print_Titles</vt:lpstr>
      <vt:lpstr>'V7'!Print_Titles</vt:lpstr>
      <vt:lpstr>'V8'!Print_Titles</vt:lpstr>
      <vt:lpstr>'V9'!Print_Titles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2019-04-12T09:06:53Z</dcterms:created>
  <dcterms:modified xsi:type="dcterms:W3CDTF">2023-04-10T12:32:29Z</dcterms:modified>
</cp:coreProperties>
</file>